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drawings/drawing2.xml" ContentType="application/vnd.openxmlformats-officedocument.drawing+xml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drawings/drawing3.xml" ContentType="application/vnd.openxmlformats-officedocument.drawing+xml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ctrlProps/ctrlProp1.xml" ContentType="application/vnd.ms-excel.controlpropertie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Lourens\Documents\All_Projects\Acelity\2016Redesign\"/>
    </mc:Choice>
  </mc:AlternateContent>
  <xr:revisionPtr revIDLastSave="0" documentId="13_ncr:1_{86FB5604-8C10-4F81-AF15-C1C4CF1C6A9F}" xr6:coauthVersionLast="45" xr6:coauthVersionMax="45" xr10:uidLastSave="{00000000-0000-0000-0000-000000000000}"/>
  <bookViews>
    <workbookView xWindow="2610" yWindow="-120" windowWidth="20730" windowHeight="15735" tabRatio="724" firstSheet="1" activeTab="1" xr2:uid="{00000000-000D-0000-FFFF-FFFF00000000}"/>
  </bookViews>
  <sheets>
    <sheet name="Sheet1" sheetId="1" state="hidden" r:id="rId1"/>
    <sheet name="Assessment" sheetId="8" r:id="rId2"/>
    <sheet name="Progress" sheetId="13" r:id="rId3"/>
    <sheet name="StockOrder" sheetId="7" r:id="rId4"/>
    <sheet name="VisitsInvoice" sheetId="14" state="hidden" r:id="rId5"/>
    <sheet name="SETUP" sheetId="3" state="hidden" r:id="rId6"/>
    <sheet name="Regions" sheetId="17" state="hidden" r:id="rId7"/>
    <sheet name="Stocklist" sheetId="16" state="hidden" r:id="rId8"/>
    <sheet name="WndTypes" sheetId="9" state="hidden" r:id="rId9"/>
    <sheet name="MedAids" sheetId="15" state="hidden" r:id="rId10"/>
  </sheets>
  <definedNames>
    <definedName name="__IntlFixup" hidden="1">TRUE</definedName>
    <definedName name="_xlnm._FilterDatabase" localSheetId="5" hidden="1">SETUP!$A$2:$B$27</definedName>
    <definedName name="_xlnm._FilterDatabase" localSheetId="0" hidden="1">Sheet1!$A$486:$F$510</definedName>
    <definedName name="_xlnm._FilterDatabase" localSheetId="4" hidden="1">VisitsInvoice!$B$19:$I$42</definedName>
    <definedName name="_Order1" hidden="1">0</definedName>
    <definedName name="Abdomen">WndTypes!$J$3</definedName>
    <definedName name="Abscess">WndTypes!$K$3:$K$4</definedName>
    <definedName name="Ass_Adress1">Assessment!$D$11</definedName>
    <definedName name="Ass_Adress2">Assessment!$D$12</definedName>
    <definedName name="Ass_Adress3">Assessment!$D$13</definedName>
    <definedName name="Ass_Adress4">Assessment!$D$14</definedName>
    <definedName name="ass_currmedinfo">Assessment!$D$50</definedName>
    <definedName name="ass_DependantCode">Assessment!$O$23</definedName>
    <definedName name="ass_MedOth">Assessment!$D$23</definedName>
    <definedName name="Ass_Postal1">Assessment!$O$11</definedName>
    <definedName name="Ass_Postal2">Assessment!$O$12</definedName>
    <definedName name="Ass_Postal3">Assessment!$O$13</definedName>
    <definedName name="Ass_Postal4">Assessment!$O$14</definedName>
    <definedName name="AssTrPlDesc">Assessment!$D$61</definedName>
    <definedName name="AWD_Order" hidden="1">OFFSET([0]!Data.Top.Left,1,0)</definedName>
    <definedName name="AWDDate_Ordered">#REF!</definedName>
    <definedName name="AWDDate_Required">#REF!</definedName>
    <definedName name="AWDStockDelAddr1">#REF!</definedName>
    <definedName name="AWDStockDelAddr2">#REF!</definedName>
    <definedName name="AWDStockDelAddr3">#REF!</definedName>
    <definedName name="AWDStockDelAddr4">#REF!</definedName>
    <definedName name="AWDStocklist">SETUP!#REF!</definedName>
    <definedName name="Burn">WndTypes!$M$3:$M$6</definedName>
    <definedName name="Burns_thermic_trauma">WndTypes!$R$2:$R$5</definedName>
    <definedName name="CHRONIC_WOUND">WndTypes!$Z$2:$Z$5</definedName>
    <definedName name="ClaimItems">SETUP!$AC$2:$AC$8</definedName>
    <definedName name="ClaimPeriodEnd">VisitsInvoice!#REF!</definedName>
    <definedName name="ClaimPeriodStart">VisitsInvoice!#REF!</definedName>
    <definedName name="ClaimsRange">SETUP!$AC$1:$AD$7</definedName>
    <definedName name="co_date1">#REF!</definedName>
    <definedName name="co_date2">#REF!</definedName>
    <definedName name="co_date3">#REF!</definedName>
    <definedName name="co_date4">#REF!</definedName>
    <definedName name="co_hospital">#REF!</definedName>
    <definedName name="co_location">#REF!</definedName>
    <definedName name="co_reason1">#REF!</definedName>
    <definedName name="co_reason2">#REF!</definedName>
    <definedName name="co_reason3">#REF!</definedName>
    <definedName name="co_reason4">#REF!</definedName>
    <definedName name="co_territory">#REF!</definedName>
    <definedName name="co_ward">#REF!</definedName>
    <definedName name="ConventionalTrtmnt">Assessment!$D$52</definedName>
    <definedName name="Cutaneous_Abscess">WndTypes!$AL$2:$AL$4</definedName>
    <definedName name="Data.Dump" localSheetId="1" hidden="1">OFFSET([0]!Data.Top.Left,1,0)</definedName>
    <definedName name="Data.Dump" localSheetId="3" hidden="1">OFFSET([0]!Data.Top.Left,1,0)</definedName>
    <definedName name="Data.Dump" localSheetId="4" hidden="1">OFFSET([0]!Data.Top.Left,1,0)</definedName>
    <definedName name="Data.Dump" hidden="1">OFFSET([0]!Data.Top.Left,1,0)</definedName>
    <definedName name="Data.Dump2" hidden="1">OFFSET([0]!Data.Top.Left,1,0)</definedName>
    <definedName name="Date_Ordered">StockOrder!$D$16</definedName>
    <definedName name="Date_Required">StockOrder!$D$18</definedName>
    <definedName name="DD_Day">SETUP!$AI$2:$AI$32</definedName>
    <definedName name="DD_Month">SETUP!$AH$2:$AH$13</definedName>
    <definedName name="DD_Year">SETUP!$AG$2:$AG$117</definedName>
    <definedName name="DeclineReason">SETUP!$W$2:$W$15</definedName>
    <definedName name="DeliveryContactNumber">StockOrder!$D$20</definedName>
    <definedName name="Diabetic_Foot_Syndrome">WndTypes!$AB$2:$AB$7</definedName>
    <definedName name="disc_Date">Progress!$D$42</definedName>
    <definedName name="disc_goalsach">Progress!$D$44</definedName>
    <definedName name="disc_otherrsn">Progress!$D$48</definedName>
    <definedName name="disc_reason">Progress!$D$46</definedName>
    <definedName name="Exudate">SETUP!$U$2:$U$6</definedName>
    <definedName name="fac_genhealth">Progress!$D$22</definedName>
    <definedName name="fac_homenv">Progress!$D$24</definedName>
    <definedName name="fac_meds">Progress!$D$33</definedName>
    <definedName name="fac_mobi">Progress!$D$26</definedName>
    <definedName name="fac_nutr">Progress!$D$28</definedName>
    <definedName name="fac_progr">Progress!$H$37</definedName>
    <definedName name="fac_progTrPlDesc">Progress!$D$30</definedName>
    <definedName name="FinMonthStart">VisitsInvoice!$C$13</definedName>
    <definedName name="Fistula">WndTypes!$M$2:$M$5</definedName>
    <definedName name="FulleName">#REF!</definedName>
    <definedName name="Furuncle_or_Boil">WndTypes!$AM$2:$AM$4</definedName>
    <definedName name="gdxc">#REF!</definedName>
    <definedName name="GOVERNMENT_EMPLOYEES_MEDICAL_SCHEME_GEMS">MedAids!#REF!</definedName>
    <definedName name="HospitalList">SETUP!$E$2:$E$300</definedName>
    <definedName name="Hospitals">SETUP!$E$2:$E$240</definedName>
    <definedName name="HTML_CodePage" hidden="1">1252</definedName>
    <definedName name="HTML_Control" localSheetId="1" hidden="1">{"'Leverage'!$B$2:$M$418"}</definedName>
    <definedName name="HTML_Control" localSheetId="3" hidden="1">{"'Leverage'!$B$2:$M$418"}</definedName>
    <definedName name="HTML_Control" localSheetId="4" hidden="1">{"'Leverage'!$B$2:$M$418"}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Hydradenitis_suppurativa">WndTypes!$F$2:$F$3</definedName>
    <definedName name="HYGIENIC_PREVENTION">WndTypes!$AH$2:$AH$3</definedName>
    <definedName name="Incision">WndTypes!$N$3:$N$4</definedName>
    <definedName name="Infections_of_organs_or_body_cavities_general">WndTypes!$L$2:$L$9</definedName>
    <definedName name="Integra_Fixation">WndTypes!$W$2:$W$3</definedName>
    <definedName name="inv_date">#REF!</definedName>
    <definedName name="inv_date1">VisitsInvoice!$I$14</definedName>
    <definedName name="inv_date10">#REF!</definedName>
    <definedName name="inv_date11">#REF!</definedName>
    <definedName name="inv_date12">#REF!</definedName>
    <definedName name="inv_date13">#REF!</definedName>
    <definedName name="inv_date14">#REF!</definedName>
    <definedName name="inv_date15">#REF!</definedName>
    <definedName name="inv_date2">#REF!</definedName>
    <definedName name="inv_date3">#REF!</definedName>
    <definedName name="inv_date4">#REF!</definedName>
    <definedName name="inv_date5">#REF!</definedName>
    <definedName name="inv_date6">#REF!</definedName>
    <definedName name="inv_date7">#REF!</definedName>
    <definedName name="inv_date8">#REF!</definedName>
    <definedName name="inv_date9">#REF!</definedName>
    <definedName name="inv_no">#REF!</definedName>
    <definedName name="inv_no1">VisitsInvoice!$I$13</definedName>
    <definedName name="inv_no10">#REF!</definedName>
    <definedName name="inv_no11">#REF!</definedName>
    <definedName name="inv_no12">#REF!</definedName>
    <definedName name="inv_no13">#REF!</definedName>
    <definedName name="inv_no14">#REF!</definedName>
    <definedName name="inv_no15">#REF!</definedName>
    <definedName name="inv_no2">#REF!</definedName>
    <definedName name="inv_no3">#REF!</definedName>
    <definedName name="inv_no4">#REF!</definedName>
    <definedName name="inv_no5">#REF!</definedName>
    <definedName name="inv_no6">#REF!</definedName>
    <definedName name="inv_no7">#REF!</definedName>
    <definedName name="inv_no8">#REF!</definedName>
    <definedName name="inv_no9">#REF!</definedName>
    <definedName name="inv_total1">VisitsInvoice!$I$37</definedName>
    <definedName name="inv_total10">#REF!</definedName>
    <definedName name="inv_total11">#REF!</definedName>
    <definedName name="inv_total12">#REF!</definedName>
    <definedName name="inv_total13">#REF!</definedName>
    <definedName name="inv_total14">#REF!</definedName>
    <definedName name="inv_total15">#REF!</definedName>
    <definedName name="inv_total2">#REF!</definedName>
    <definedName name="inv_total3">#REF!</definedName>
    <definedName name="inv_total4">#REF!</definedName>
    <definedName name="inv_total5">#REF!</definedName>
    <definedName name="inv_total6">#REF!</definedName>
    <definedName name="inv_total7">#REF!</definedName>
    <definedName name="inv_total8">#REF!</definedName>
    <definedName name="inv_total9">#REF!</definedName>
    <definedName name="InvSubTot">VisitsInvoice!$I$35</definedName>
    <definedName name="InvTotal">VisitsInvoice!$I$37</definedName>
    <definedName name="InvVAT">VisitsInvoice!$I$36</definedName>
    <definedName name="InvVatNo">VisitsInvoice!$H$4</definedName>
    <definedName name="lbl_hosp">Assessment!#REF!</definedName>
    <definedName name="lbl_ImpDate">Assessment!$I$70</definedName>
    <definedName name="lbl_ward">Assessment!$C$19</definedName>
    <definedName name="Location">SETUP!$J$2:$J$54</definedName>
    <definedName name="Macro1" localSheetId="1">Assessment!Macro1</definedName>
    <definedName name="Macro1" localSheetId="3">StockOrder!Macro1</definedName>
    <definedName name="Macro1" localSheetId="4">VisitsInvoice!Macro1</definedName>
    <definedName name="Macro1">[0]!Macro1</definedName>
    <definedName name="Macro2" localSheetId="1">Assessment!Macro2</definedName>
    <definedName name="Macro2" localSheetId="3">StockOrder!Macro2</definedName>
    <definedName name="Macro2" localSheetId="4">VisitsInvoice!Macro2</definedName>
    <definedName name="Macro2">[0]!Macro2</definedName>
    <definedName name="Malignant_wound">WndTypes!$AF$2:$AF$3</definedName>
    <definedName name="Mechanical_trauma_wound">WndTypes!$Q$2:$Q$6</definedName>
    <definedName name="Med_Aid_No">Assessment!$D$21</definedName>
    <definedName name="MedAids">MedAids!$A$2:$A$194</definedName>
    <definedName name="MRSA_wound">WndTypes!$AI$2:$AI$3</definedName>
    <definedName name="Necrotising_Fasciitis">WndTypes!$H$2:$H$3</definedName>
    <definedName name="Non_healing_open_wound">WndTypes!$E$2:$E$3</definedName>
    <definedName name="Non_Traumatic_Abscess">WndTypes!$AK$2:$AK$3</definedName>
    <definedName name="NON_TRAUMATIC_NON_POSTOPERATIVE_INFECTIONS">WndTypes!$C$2:$C$7</definedName>
    <definedName name="Other_Location">Assessment!$H$17</definedName>
    <definedName name="OthInvSubTot">#REF!</definedName>
    <definedName name="OthInvTotal">#REF!</definedName>
    <definedName name="OthInvVAT">#REF!</definedName>
    <definedName name="Ownership" localSheetId="1" hidden="1">OFFSET([0]!Data.Top.Left,1,0)</definedName>
    <definedName name="Ownership" localSheetId="3" hidden="1">OFFSET([0]!Data.Top.Left,1,0)</definedName>
    <definedName name="Ownership" localSheetId="4" hidden="1">OFFSET([0]!Data.Top.Left,1,0)</definedName>
    <definedName name="Ownership" hidden="1">OFFSET([0]!Data.Top.Left,1,0)</definedName>
    <definedName name="PALLIATION">WndTypes!$AE$2:$AE$3</definedName>
    <definedName name="PAuthInd">Assessment!$M$23</definedName>
    <definedName name="pd_assmntdate">Assessment!$D$27</definedName>
    <definedName name="pd_dob_day">Assessment!$H$7</definedName>
    <definedName name="pd_dob_month">Assessment!$F$7</definedName>
    <definedName name="pd_dob_year">Assessment!$D$7</definedName>
    <definedName name="pd_drname">Assessment!$D$31</definedName>
    <definedName name="pd_drno">Assessment!$N$31</definedName>
    <definedName name="pd_hospdate">Assessment!$D$25</definedName>
    <definedName name="pd_hospit">Assessment!$H$19</definedName>
    <definedName name="pd_loc">Assessment!$D$17</definedName>
    <definedName name="pd_med">Assessment!$H$21</definedName>
    <definedName name="pd_medno">Assessment!$D$21</definedName>
    <definedName name="pd_name">Assessment!$D$5</definedName>
    <definedName name="Pd_Phone">Assessment!$D$9</definedName>
    <definedName name="pd_pnp">#REF!</definedName>
    <definedName name="pd_surname">Assessment!$N$5</definedName>
    <definedName name="pd_terr">Assessment!$D$29</definedName>
    <definedName name="pd_title">Assessment!$N$7</definedName>
    <definedName name="pd_ward">Assessment!$D$19</definedName>
    <definedName name="pers_DocPhone">Assessment!$D$33</definedName>
    <definedName name="pers_MainMem">Assessment!$D$41</definedName>
    <definedName name="pers_MainMemID">Assessment!$R$41</definedName>
    <definedName name="pers_NextOfKin">Assessment!$D$37</definedName>
    <definedName name="pers_NextOfKinPhone">Assessment!$D$39</definedName>
    <definedName name="pers_NextOfKinRelation">Assessment!$R$37</definedName>
    <definedName name="pers_PNPName">Assessment!#REF!</definedName>
    <definedName name="PLASTICS">WndTypes!$U$2:$U$5</definedName>
    <definedName name="PNP">Assessment!$D$3</definedName>
    <definedName name="pnp_name1">VisitsInvoice!$B$3</definedName>
    <definedName name="pnp_name10">#REF!</definedName>
    <definedName name="pnp_name11">#REF!</definedName>
    <definedName name="pnp_name12">#REF!</definedName>
    <definedName name="pnp_name13">#REF!</definedName>
    <definedName name="pnp_name14">#REF!</definedName>
    <definedName name="pnp_name15">#REF!</definedName>
    <definedName name="pnp_name2">#REF!</definedName>
    <definedName name="pnp_name3">#REF!</definedName>
    <definedName name="pnp_name4">#REF!</definedName>
    <definedName name="pnp_name5">#REF!</definedName>
    <definedName name="pnp_name6">#REF!</definedName>
    <definedName name="pnp_name7">#REF!</definedName>
    <definedName name="pnp_name8">#REF!</definedName>
    <definedName name="pnp_name9">#REF!</definedName>
    <definedName name="PNPList">#REF!</definedName>
    <definedName name="PNPMatrix">#REF!</definedName>
    <definedName name="Postal_Code">Assessment!$O$15</definedName>
    <definedName name="POSTOPERATIVE">WndTypes!$J$2:$J$6</definedName>
    <definedName name="pr_1loc">Progress!$S$15</definedName>
    <definedName name="pr_date">Progress!$D$11</definedName>
    <definedName name="pr_Hospital">Progress!$K$15</definedName>
    <definedName name="pr_Location">Progress!$D$15</definedName>
    <definedName name="pr_name">Progress!$D$5</definedName>
    <definedName name="pr_otherlocation">Progress!$D$17</definedName>
    <definedName name="pr_photo">Progress!$K$11</definedName>
    <definedName name="pr_Territory">Progress!$D$8</definedName>
    <definedName name="pr_ward">Progress!$V$17</definedName>
    <definedName name="pr_wd1_EDate">Progress!$D$56</definedName>
    <definedName name="pr_wd1_SDate">Progress!$D$54</definedName>
    <definedName name="pr_wd1DebrideDate">Progress!$D$78</definedName>
    <definedName name="pr_wd1Dep">Progress!$H$72</definedName>
    <definedName name="pr_wd1Edges">Progress!$D$70</definedName>
    <definedName name="pr_wd1Exudate">Progress!$D$88</definedName>
    <definedName name="pr_wd1Len">Progress!$D$72</definedName>
    <definedName name="pr_wd1Moisture">Progress!$D$68</definedName>
    <definedName name="pr_wd1Tunn">Progress!$D$74</definedName>
    <definedName name="pr_wd1Undermin">Progress!$D$76</definedName>
    <definedName name="pr_wd1Wid">Progress!$F$72</definedName>
    <definedName name="pr_wd2_EDate">Progress!$K$56</definedName>
    <definedName name="pr_wd2_SDate">Progress!$K$54</definedName>
    <definedName name="pr_wd2DebrideDate">Progress!$K$78</definedName>
    <definedName name="pr_wd2Dep">Progress!$O$72</definedName>
    <definedName name="pr_wd2Edges">Progress!$K$70</definedName>
    <definedName name="pr_wd2Exudate">Progress!$K$88</definedName>
    <definedName name="pr_wd2Len">Progress!$K$72</definedName>
    <definedName name="pr_wd2Moisture">Progress!$K$68</definedName>
    <definedName name="pr_wd2Tunn">Progress!$K$74</definedName>
    <definedName name="pr_wd2Undermin">Progress!$K$76</definedName>
    <definedName name="pr_wd2Wid">Progress!$M$72</definedName>
    <definedName name="pr_wd3_EDate">Progress!$R$56</definedName>
    <definedName name="pr_wd3_SDate">Progress!$R$54</definedName>
    <definedName name="pr_wd3DebrideDate">Progress!$R$78</definedName>
    <definedName name="pr_wd3Dep">Progress!$V$72</definedName>
    <definedName name="pr_wd3Edges">Progress!$R$70</definedName>
    <definedName name="pr_wd3Exudate">Progress!$R$88</definedName>
    <definedName name="pr_wd3Len">Progress!$R$72</definedName>
    <definedName name="pr_wd3Moisture">Progress!$R$68</definedName>
    <definedName name="pr_wd3Tunn">Progress!$R$74</definedName>
    <definedName name="pr_wd3Undermin">Progress!$R$76</definedName>
    <definedName name="pr_wd3Wid">Progress!$T$72</definedName>
    <definedName name="pr_wd4_EDate">Progress!$D$95</definedName>
    <definedName name="pr_wd4_SDate">Progress!$D$93</definedName>
    <definedName name="pr_wd4DebrideDate">Progress!$D$117</definedName>
    <definedName name="pr_wd4Dep">Progress!$H$111</definedName>
    <definedName name="pr_wd4Edges">Progress!$D$109</definedName>
    <definedName name="pr_wd4Exudate">Progress!$D$127</definedName>
    <definedName name="pr_wd4Len">Progress!$D$111</definedName>
    <definedName name="pr_wd4Moisture">Progress!$D$107</definedName>
    <definedName name="pr_wd4Tunn">Progress!$D$113</definedName>
    <definedName name="pr_wd4Undermin">Progress!$D$115</definedName>
    <definedName name="pr_wd4Wid">Progress!$F$111</definedName>
    <definedName name="pr_wd5_EDate">Progress!$K$95</definedName>
    <definedName name="pr_wd5_SDate">Progress!$K$93</definedName>
    <definedName name="pr_wd5DebrideDate">Progress!$K$117</definedName>
    <definedName name="pr_wd5Dep">Progress!$O$111</definedName>
    <definedName name="pr_wd5Edges">Progress!$K$109</definedName>
    <definedName name="pr_wd5Exudate">Progress!$K$127</definedName>
    <definedName name="pr_wd5Len">Progress!$K$111</definedName>
    <definedName name="pr_wd5Moisture">Progress!$K$107</definedName>
    <definedName name="pr_wd5Tunn">Progress!$K$113</definedName>
    <definedName name="pr_wd5Undermin">Progress!$K$115</definedName>
    <definedName name="pr_wd5Wid">Progress!$M$111</definedName>
    <definedName name="pr_wd6_EDate">Progress!$R$95</definedName>
    <definedName name="pr_wd6_SDate">Progress!$R$93</definedName>
    <definedName name="pr_wd6DebrideDate">Progress!$R$117</definedName>
    <definedName name="pr_wd6Dep">Progress!$V$111</definedName>
    <definedName name="pr_wd6Edges">Progress!$R$109</definedName>
    <definedName name="pr_wd6Exudate">Progress!$R$127</definedName>
    <definedName name="pr_wd6Len">Progress!$R$111</definedName>
    <definedName name="pr_wd6Moisture">Progress!$R$107</definedName>
    <definedName name="pr_wd6Tunn">Progress!$R$113</definedName>
    <definedName name="pr_wd6Undermin">Progress!$R$115</definedName>
    <definedName name="pr_wd6Wid">Progress!$T$111</definedName>
    <definedName name="pr_wd7_EDate">Progress!$D$134</definedName>
    <definedName name="pr_wd7_SDate">Progress!$D$132</definedName>
    <definedName name="pr_wd7DebrideDate">Progress!$D$156</definedName>
    <definedName name="pr_wd7Dep">Progress!$H$150</definedName>
    <definedName name="pr_wd7Edges">Progress!$D$148</definedName>
    <definedName name="pr_wd7Exudate">Progress!$D$166</definedName>
    <definedName name="pr_wd7Len">Progress!$D$150</definedName>
    <definedName name="pr_wd7Moisture">Progress!$D$146</definedName>
    <definedName name="pr_wd7Tunn">Progress!$D$152</definedName>
    <definedName name="pr_wd7Undermin">Progress!$D$154</definedName>
    <definedName name="pr_wd7Wid">Progress!$F$150</definedName>
    <definedName name="pr_wd8_EDate">Progress!$K$134</definedName>
    <definedName name="pr_wd8_SDate">Progress!$K$132</definedName>
    <definedName name="pr_wd8DebrideDate">Progress!$K$156</definedName>
    <definedName name="pr_wd8Dep">Progress!$O$150</definedName>
    <definedName name="pr_wd8Edges">Progress!$K$148</definedName>
    <definedName name="pr_wd8Exudate">Progress!$K$166</definedName>
    <definedName name="pr_wd8Len">Progress!$K$150</definedName>
    <definedName name="pr_wd8Moisture">Progress!$K$146</definedName>
    <definedName name="pr_wd8Tunn">Progress!$K$152</definedName>
    <definedName name="pr_wd8Undermin">Progress!$K$154</definedName>
    <definedName name="pr_wd8Wid">Progress!$M$150</definedName>
    <definedName name="pr_wd9_EDate">Progress!$R$134</definedName>
    <definedName name="pr_wd9_SDate">Progress!$R$132</definedName>
    <definedName name="pr_wd9DebrideDate">Progress!$R$156</definedName>
    <definedName name="pr_wd9Dep">Progress!$V$150</definedName>
    <definedName name="pr_wd9Edges">Progress!$R$148</definedName>
    <definedName name="pr_wd9Exudate">Progress!$R$166</definedName>
    <definedName name="pr_wd9Len">Progress!$R$150</definedName>
    <definedName name="pr_wd9Moisture">Progress!$R$146</definedName>
    <definedName name="pr_wd9Tunn">Progress!$R$152</definedName>
    <definedName name="pr_wd9Undermin">Progress!$R$154</definedName>
    <definedName name="pr_wd9Wid">Progress!$T$150</definedName>
    <definedName name="PreauthInd">" "</definedName>
    <definedName name="Pressure_Ulcer">WndTypes!$AC$2:$AC$4</definedName>
    <definedName name="_xlnm.Print_Area" localSheetId="1">Assessment!$A$1:$W$139</definedName>
    <definedName name="_xlnm.Print_Area" localSheetId="2">Progress!$A$1:$W$89</definedName>
    <definedName name="_xlnm.Print_Area" localSheetId="3">StockOrder!$A$1:$W$55</definedName>
    <definedName name="_xlnm.Print_Area" localSheetId="4">VisitsInvoice!$A$1:$I$45</definedName>
    <definedName name="_xlnm.Print_Titles" localSheetId="1">Assessment!$1:$35</definedName>
    <definedName name="Progr_PrgToGoals">Progress!$D$37</definedName>
    <definedName name="prType_1Other">Progress!$D$60</definedName>
    <definedName name="prType_2Other">Progress!$K$60</definedName>
    <definedName name="prType_3Other">Progress!$R$60</definedName>
    <definedName name="Radiation_Ulcer">WndTypes!$S$2:$S$3</definedName>
    <definedName name="res_glucose">Assessment!$T$57</definedName>
    <definedName name="res_hba1c">Assessment!$K$57</definedName>
    <definedName name="res_mcs">Assessment!$K$59</definedName>
    <definedName name="Septic_wounds">WndTypes!$G$2:$G$5</definedName>
    <definedName name="SO_Hospital">StockOrder!$D$11</definedName>
    <definedName name="SO_Location">StockOrder!$O$9</definedName>
    <definedName name="SO_Territory">StockOrder!$D$9</definedName>
    <definedName name="SO_Ward">StockOrder!$R$11</definedName>
    <definedName name="Soft_Tissue_Infection_General">WndTypes!$D$2:$D$3</definedName>
    <definedName name="Split_Thickness_Skin_Graft">WndTypes!$V$2:$V$4</definedName>
    <definedName name="StockCode">SETUP!$B$2:$B$31</definedName>
    <definedName name="StockCodes">SETUP!$B$2:$B$31</definedName>
    <definedName name="StockDelAddr1">StockOrder!$M$16</definedName>
    <definedName name="StockDelAddr2">StockOrder!$M$17</definedName>
    <definedName name="StockDelAddr3">StockOrder!$M$18</definedName>
    <definedName name="StockDelAddr4">StockOrder!$M$19</definedName>
    <definedName name="Stocklist">Stocklist!$A$2:$A$120</definedName>
    <definedName name="Street_Code">Assessment!$D$15</definedName>
    <definedName name="Surgical_dehiscence_nonhealing_surgical_wound">WndTypes!$K$2:$K$5</definedName>
    <definedName name="Surgical_nondehiscence">WndTypes!$N$2:$N$3</definedName>
    <definedName name="Territory">Regions!$A$2:$A$9</definedName>
    <definedName name="Threedimensional_flap_construction">WndTypes!$X$2:$X$3</definedName>
    <definedName name="TRAUMA">WndTypes!$P$2:$P$5</definedName>
    <definedName name="TreatmentGoals">SETUP!$AA$2:$AA$8</definedName>
    <definedName name="TreatmentPlan">SETUP!$Y$2:$Y$5</definedName>
    <definedName name="Ulcus_cruris">WndTypes!$AA$3:$AA$5</definedName>
    <definedName name="VATRate">SETUP!$C$2</definedName>
    <definedName name="wd_1_EDate">Assessment!$D$101</definedName>
    <definedName name="wd_1_SDate">Assessment!$D$99</definedName>
    <definedName name="wd_1chronic">Assessment!$D$113</definedName>
    <definedName name="wd_1debdate">Assessment!$F$129</definedName>
    <definedName name="wd_1dep">Assessment!$H$123</definedName>
    <definedName name="wd_1edge">Assessment!$D$121</definedName>
    <definedName name="wd_1exud">Assessment!$D$138</definedName>
    <definedName name="wd_1len">Assessment!$D$123</definedName>
    <definedName name="wd_1loc">Assessment!$D$103</definedName>
    <definedName name="wd_1moist">Assessment!$D$119</definedName>
    <definedName name="wd_1tuncm">Assessment!$F$125</definedName>
    <definedName name="wd_1tyoth">Assessment!$D$105</definedName>
    <definedName name="wd_1type">Assessment!$D$109</definedName>
    <definedName name="wd_1tysub">Assessment!$D$111</definedName>
    <definedName name="wd_1undcm">Assessment!$F$127</definedName>
    <definedName name="wd_1wid">Assessment!$F$123</definedName>
    <definedName name="wd_2_EDate">Assessment!$K$101</definedName>
    <definedName name="wd_2_SDate">Assessment!$K$99</definedName>
    <definedName name="wd_2cat" localSheetId="2">Assessment!$R$107</definedName>
    <definedName name="wd_2chronic">Assessment!$K$113</definedName>
    <definedName name="wd_2debdate">Assessment!$M$129</definedName>
    <definedName name="wd_2dep">Assessment!$O$123</definedName>
    <definedName name="wd_2edge">Assessment!$K$121</definedName>
    <definedName name="wd_2exud">Assessment!$K$138</definedName>
    <definedName name="wd_2len">Assessment!$K$123</definedName>
    <definedName name="wd_2loc">Assessment!$K$103</definedName>
    <definedName name="wd_2moist">Assessment!$K$119</definedName>
    <definedName name="wd_2tuncm">Assessment!$M$125</definedName>
    <definedName name="wd_2tyoth">Assessment!$K$105</definedName>
    <definedName name="wd_2type">Assessment!$K$109</definedName>
    <definedName name="wd_2tysub">Assessment!$K$111</definedName>
    <definedName name="wd_2undcm">Assessment!$M$127</definedName>
    <definedName name="wd_2wid">Assessment!$M$123</definedName>
    <definedName name="wd_3_EDate">Assessment!$R$101</definedName>
    <definedName name="wd_3_SDate">Assessment!$R$99</definedName>
    <definedName name="wd_3chronic">Assessment!$R$113</definedName>
    <definedName name="wd_3debdate">Assessment!$T$129</definedName>
    <definedName name="wd_3dep">Assessment!$V$123</definedName>
    <definedName name="wd_3edge">Assessment!$R$121</definedName>
    <definedName name="wd_3exud">Assessment!$R$138</definedName>
    <definedName name="wd_3len">Assessment!$R$123</definedName>
    <definedName name="wd_3loc">Assessment!$R$103</definedName>
    <definedName name="wd_3moist">Assessment!$R$119</definedName>
    <definedName name="wd_3tuncm">Assessment!$T$125</definedName>
    <definedName name="wd_3tyoth">Assessment!$R$105</definedName>
    <definedName name="wd_3type">Assessment!$R$109</definedName>
    <definedName name="wd_3tysub">Assessment!$R$111</definedName>
    <definedName name="wd_3undcm">Assessment!$T$127</definedName>
    <definedName name="wd_3wid">Assessment!$T$123</definedName>
    <definedName name="wd_4_EDate">Assessment!$D$146</definedName>
    <definedName name="wd_4_SDate">Assessment!$D$144</definedName>
    <definedName name="wd_4chronic">Assessment!$D$158</definedName>
    <definedName name="wd_4dep">Assessment!$H$168</definedName>
    <definedName name="wd_4edge">Assessment!$D$166</definedName>
    <definedName name="wd_4exud">Assessment!$D$183</definedName>
    <definedName name="wd_4len">Assessment!$D$168</definedName>
    <definedName name="wd_4loc">Assessment!$D$148</definedName>
    <definedName name="wd_4moist">Assessment!$D$164</definedName>
    <definedName name="wd_4tyoth">Assessment!$D$150</definedName>
    <definedName name="wd_4type">Assessment!$D$154</definedName>
    <definedName name="wd_4tysub">Assessment!$D$156</definedName>
    <definedName name="wd_4wid">Assessment!$F$168</definedName>
    <definedName name="wd_5_EDate">Assessment!$K$146</definedName>
    <definedName name="wd_5_SDate">Assessment!$K$144</definedName>
    <definedName name="wd_5chronic">Assessment!$K$158</definedName>
    <definedName name="wd_5dep">Assessment!$O$168</definedName>
    <definedName name="wd_5edge">Assessment!$K$166</definedName>
    <definedName name="wd_5exud">Assessment!$K$183</definedName>
    <definedName name="wd_5len">Assessment!$K$168</definedName>
    <definedName name="wd_5loc">Assessment!$K$148</definedName>
    <definedName name="wd_5moist">Assessment!$K$164</definedName>
    <definedName name="wd_5tyoth">Assessment!$K$150</definedName>
    <definedName name="wd_5type">Assessment!$K$154</definedName>
    <definedName name="wd_5tysub">Assessment!$K$156</definedName>
    <definedName name="wd_5wid">Assessment!$M$168</definedName>
    <definedName name="wd_6_EDate">Assessment!$R$146</definedName>
    <definedName name="wd_6_SDate">Assessment!$R$144</definedName>
    <definedName name="wd_6chronic">Assessment!$R$158</definedName>
    <definedName name="wd_6dep">Assessment!$V$168</definedName>
    <definedName name="wd_6edge">Assessment!$R$166</definedName>
    <definedName name="wd_6exud">Assessment!$R$183</definedName>
    <definedName name="wd_6len">Assessment!$R$168</definedName>
    <definedName name="wd_6loc">Assessment!$R$148</definedName>
    <definedName name="wd_6moist">Assessment!$R$164</definedName>
    <definedName name="wd_6tyoth">Assessment!$R$150</definedName>
    <definedName name="wd_6type">Assessment!$R$154</definedName>
    <definedName name="wd_6tysub">Assessment!$R$156</definedName>
    <definedName name="wd_6wid">Assessment!$T$168</definedName>
    <definedName name="wd_7_EDate">Assessment!$D$191</definedName>
    <definedName name="wd_7_SDate">Assessment!$D$189</definedName>
    <definedName name="wd_7chronic">Assessment!$D$203</definedName>
    <definedName name="wd_7dep">Assessment!$H$213</definedName>
    <definedName name="wd_7edge">Assessment!$D$211</definedName>
    <definedName name="wd_7exud">Assessment!$D$228</definedName>
    <definedName name="wd_7len">Assessment!$D$213</definedName>
    <definedName name="wd_7loc">Assessment!$D$193</definedName>
    <definedName name="wd_7moist">Assessment!$D$209</definedName>
    <definedName name="wd_7tyoth">Assessment!$D$195</definedName>
    <definedName name="wd_7type">Assessment!$D$199</definedName>
    <definedName name="wd_7tysub">Assessment!$D$201</definedName>
    <definedName name="wd_7wid">Assessment!$F$213</definedName>
    <definedName name="wd_8_EDate">Assessment!$K$191</definedName>
    <definedName name="wd_8_SDate">Assessment!$K$189</definedName>
    <definedName name="wd_8chronic">Assessment!$K$203</definedName>
    <definedName name="wd_8dep">Assessment!$O$213</definedName>
    <definedName name="wd_8edge">Assessment!$K$211</definedName>
    <definedName name="wd_8exud">Assessment!$K$228</definedName>
    <definedName name="wd_8len">Assessment!$K$213</definedName>
    <definedName name="wd_8loc">Assessment!$K$193</definedName>
    <definedName name="wd_8moist">Assessment!$K$209</definedName>
    <definedName name="wd_8tyoth">Assessment!$K$195</definedName>
    <definedName name="wd_8type">Assessment!$K$199</definedName>
    <definedName name="wd_8tysub">Assessment!$K$201</definedName>
    <definedName name="wd_8wid">Assessment!$M$213</definedName>
    <definedName name="wd_9_EDate">Assessment!$R$191</definedName>
    <definedName name="wd_9_SDate">Assessment!$R$189</definedName>
    <definedName name="wd_9chronic">Assessment!$R$203</definedName>
    <definedName name="wd_9dep">Assessment!$V$213</definedName>
    <definedName name="wd_9edge">Assessment!$R$211</definedName>
    <definedName name="wd_9exud">Assessment!$R$228</definedName>
    <definedName name="wd_9len">Assessment!$R$213</definedName>
    <definedName name="wd_9loc">Assessment!$R$193</definedName>
    <definedName name="wd_9moist">Assessment!$R$209</definedName>
    <definedName name="wd_9tyoth">Assessment!$R$195</definedName>
    <definedName name="wd_9type">Assessment!$R$199</definedName>
    <definedName name="wd_9tysub">Assessment!$R$201</definedName>
    <definedName name="wd_9wid">Assessment!$T$213</definedName>
    <definedName name="wd_diagprime">Assessment!$D$88</definedName>
    <definedName name="wd_diagsecond">Assessment!$D$90</definedName>
    <definedName name="wd_icd10">Assessment!$D$92</definedName>
    <definedName name="wd_ImpDate">Assessment!$J$84</definedName>
    <definedName name="wd_medhist">Assessment!$D$47</definedName>
    <definedName name="wd_medication">Assessment!$D$64</definedName>
    <definedName name="wd_SolutionVacUlta">Assessment!$D$86</definedName>
    <definedName name="wnd_1cat">Assessment!$D$109</definedName>
    <definedName name="wnd_1debr">Assessment!$D$129</definedName>
    <definedName name="wnd_1infected">Assessment!$D$117</definedName>
    <definedName name="wnd_1inflamed">Assessment!$F$131</definedName>
    <definedName name="wnd_1tunl">Assessment!$D$125</definedName>
    <definedName name="wnd_1undm">Assessment!$D$127</definedName>
    <definedName name="wnd_2cat">Assessment!$K$109</definedName>
    <definedName name="wnd_2debr">Assessment!$K$129</definedName>
    <definedName name="wnd_2infected">Assessment!$K$117</definedName>
    <definedName name="wnd_2inflamed">Assessment!$M$131</definedName>
    <definedName name="wnd_2tunl">Assessment!$K$125</definedName>
    <definedName name="wnd_2undm">Assessment!$K$127</definedName>
    <definedName name="wnd_3cat">Assessment!$R$109</definedName>
    <definedName name="wnd_3debr">Assessment!$R$129</definedName>
    <definedName name="wnd_3infected">Assessment!$R$117</definedName>
    <definedName name="wnd_3inflamed">Assessment!$T$131</definedName>
    <definedName name="wnd_3tunl">Assessment!$R$125</definedName>
    <definedName name="wnd_3type">Assessment!$R$109</definedName>
    <definedName name="wnd_3undm">Assessment!$R$127</definedName>
    <definedName name="wnd_4debr">Assessment!$D$174</definedName>
    <definedName name="wnd_4tunl">Assessment!$D$170</definedName>
    <definedName name="wnd_4undm">Assessment!$D$172</definedName>
    <definedName name="wnd_5debr">Assessment!$K$174</definedName>
    <definedName name="wnd_5tunl">Assessment!$K$170</definedName>
    <definedName name="wnd_5undm">Assessment!$K$172</definedName>
    <definedName name="wnd_6debr">Assessment!$R$174</definedName>
    <definedName name="wnd_6tunl">Assessment!$R$170</definedName>
    <definedName name="wnd_6undm">Assessment!$R$172</definedName>
    <definedName name="wnd_7debr">Assessment!$D$219</definedName>
    <definedName name="wnd_7tunl">Assessment!$D$215</definedName>
    <definedName name="wnd_7undm">Assessment!$D$217</definedName>
    <definedName name="wnd_8debr">Assessment!$K$219</definedName>
    <definedName name="wnd_8tunl">Assessment!$K$215</definedName>
    <definedName name="wnd_8undm">Assessment!$K$217</definedName>
    <definedName name="wnd_9debr">Assessment!$R$219</definedName>
    <definedName name="wnd_9tunl">Assessment!$R$215</definedName>
    <definedName name="wnd_9undm">Assessment!$R$217</definedName>
    <definedName name="Wnd1Cat">Assessment!$D$107</definedName>
    <definedName name="Wnd1Sub">Assessment!$D$111</definedName>
    <definedName name="Wnd1Type">Assessment!$D$109</definedName>
    <definedName name="Wnd2Cat">Assessment!$K$107</definedName>
    <definedName name="Wnd2Sub">Assessment!$K$111</definedName>
    <definedName name="Wnd2Type">Assessment!$K$109</definedName>
    <definedName name="wnd3_type">Assessment!$R$109</definedName>
    <definedName name="Wnd3Cat">Assessment!$R$107</definedName>
    <definedName name="Wnd3Sub">Assessment!$R$111</definedName>
    <definedName name="Wnd3type">Assessment!$R$109</definedName>
    <definedName name="Wnd4Cat">Assessment!$D$152</definedName>
    <definedName name="Wnd5Cat">Assessment!$K$152</definedName>
    <definedName name="Wnd6Cat">Assessment!$R$152</definedName>
    <definedName name="wnd71debr">Assessment!$D$219</definedName>
    <definedName name="Wnd7Cat">Assessment!$D$197</definedName>
    <definedName name="Wnd8Cat">Assessment!$K$197</definedName>
    <definedName name="Wnd9Cat">Assessment!$R$197</definedName>
    <definedName name="WndCat_Nontrauma">WndTypes!$C$3:$C$7</definedName>
    <definedName name="WndCat_PostOp">WndTypes!$J$3:$J$6</definedName>
    <definedName name="WndCat_PostOp1">WndTypes!$K$3:$K$5</definedName>
    <definedName name="WndCat_PostOp2">WndTypes!$L$3:$L$9</definedName>
    <definedName name="WndCat_PostOp3">WndTypes!$M$3:$M$5</definedName>
    <definedName name="WndCat_PostOp4">WndTypes!$N$3</definedName>
    <definedName name="WndCat_Trauma">WndTypes!$P$3:$P$5</definedName>
    <definedName name="WndEdge">SETUP!$M$2:$M$5</definedName>
    <definedName name="WndLocation">SETUP!$J$2:$J$54</definedName>
    <definedName name="WndSubCatTrauma1">WndTypes!$Q$3:$Q$6</definedName>
    <definedName name="WndSubCatTrauma2">WndTypes!$R$3:$R$5</definedName>
    <definedName name="WndSubCatTrauma3">WndTypes!$S$3</definedName>
    <definedName name="WoundCat">WndTypes!$A$3:$A$11</definedName>
    <definedName name="x" hidden="1">OFFSET([0]!Data.Top.Left,1,0)</definedName>
    <definedName name="YesNo">SETUP!$L$2:$L$3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4" i="1" l="1"/>
  <c r="E533" i="1"/>
  <c r="C1" i="8"/>
  <c r="O9" i="7" l="1"/>
  <c r="R11" i="7"/>
  <c r="D9" i="7"/>
  <c r="E107" i="1" l="1"/>
  <c r="E112" i="1"/>
  <c r="E16" i="1"/>
  <c r="E8" i="1"/>
  <c r="D129" i="1" l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B28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E87" i="1" l="1"/>
  <c r="E203" i="1" l="1"/>
  <c r="E201" i="1"/>
  <c r="E83" i="1"/>
  <c r="E93" i="1"/>
  <c r="E84" i="1"/>
  <c r="E91" i="1"/>
  <c r="E89" i="1"/>
  <c r="E88" i="1"/>
  <c r="E14" i="1" l="1"/>
  <c r="E7" i="1" l="1"/>
  <c r="R191" i="8" l="1"/>
  <c r="K191" i="8"/>
  <c r="D191" i="8"/>
  <c r="R146" i="8"/>
  <c r="K146" i="8"/>
  <c r="D146" i="8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422" i="1"/>
  <c r="R101" i="8" l="1"/>
  <c r="K101" i="8"/>
  <c r="D101" i="8"/>
  <c r="R132" i="13"/>
  <c r="K132" i="13"/>
  <c r="D132" i="13"/>
  <c r="R93" i="13"/>
  <c r="K93" i="13"/>
  <c r="D93" i="13"/>
  <c r="R54" i="13"/>
  <c r="K54" i="13"/>
  <c r="D54" i="13"/>
  <c r="E28" i="1" l="1"/>
  <c r="E514" i="1" l="1"/>
  <c r="E2" i="1"/>
  <c r="E33" i="1"/>
  <c r="E512" i="1" l="1"/>
  <c r="E450" i="1" l="1"/>
  <c r="E508" i="1"/>
  <c r="E507" i="1"/>
  <c r="E506" i="1"/>
  <c r="E504" i="1"/>
  <c r="E503" i="1"/>
  <c r="E502" i="1"/>
  <c r="E500" i="1"/>
  <c r="E499" i="1"/>
  <c r="E498" i="1"/>
  <c r="E496" i="1"/>
  <c r="E495" i="1"/>
  <c r="E494" i="1"/>
  <c r="E492" i="1"/>
  <c r="E491" i="1"/>
  <c r="E490" i="1"/>
  <c r="E488" i="1"/>
  <c r="E487" i="1"/>
  <c r="E486" i="1"/>
  <c r="E484" i="1"/>
  <c r="E483" i="1"/>
  <c r="E482" i="1"/>
  <c r="E480" i="1"/>
  <c r="E479" i="1"/>
  <c r="E478" i="1"/>
  <c r="E476" i="1"/>
  <c r="E475" i="1"/>
  <c r="E474" i="1"/>
  <c r="E472" i="1"/>
  <c r="E471" i="1"/>
  <c r="E470" i="1"/>
  <c r="E468" i="1"/>
  <c r="E467" i="1"/>
  <c r="E466" i="1"/>
  <c r="E464" i="1"/>
  <c r="E463" i="1"/>
  <c r="E462" i="1"/>
  <c r="E460" i="1"/>
  <c r="E459" i="1"/>
  <c r="E458" i="1"/>
  <c r="E456" i="1"/>
  <c r="E455" i="1"/>
  <c r="E454" i="1"/>
  <c r="E452" i="1"/>
  <c r="E451" i="1"/>
  <c r="E511" i="1" l="1"/>
  <c r="B3" i="14" l="1"/>
  <c r="B4" i="14" l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448" i="1"/>
  <c r="E440" i="1"/>
  <c r="E432" i="1"/>
  <c r="E424" i="1"/>
  <c r="E423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2" i="1"/>
  <c r="E384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36" i="1"/>
  <c r="E335" i="1"/>
  <c r="E334" i="1"/>
  <c r="E333" i="1"/>
  <c r="E332" i="1"/>
  <c r="E331" i="1"/>
  <c r="E330" i="1"/>
  <c r="E329" i="1"/>
  <c r="E327" i="1"/>
  <c r="E326" i="1"/>
  <c r="E325" i="1"/>
  <c r="E324" i="1"/>
  <c r="E323" i="1"/>
  <c r="E322" i="1"/>
  <c r="E315" i="1"/>
  <c r="E314" i="1"/>
  <c r="E313" i="1"/>
  <c r="E312" i="1"/>
  <c r="E311" i="1"/>
  <c r="E310" i="1"/>
  <c r="E309" i="1"/>
  <c r="E308" i="1"/>
  <c r="E306" i="1"/>
  <c r="E305" i="1"/>
  <c r="E304" i="1"/>
  <c r="E303" i="1"/>
  <c r="E302" i="1"/>
  <c r="E301" i="1"/>
  <c r="E294" i="1"/>
  <c r="E293" i="1"/>
  <c r="E292" i="1"/>
  <c r="E291" i="1"/>
  <c r="E290" i="1"/>
  <c r="E289" i="1"/>
  <c r="E288" i="1"/>
  <c r="E287" i="1"/>
  <c r="E285" i="1"/>
  <c r="E284" i="1"/>
  <c r="E283" i="1"/>
  <c r="E282" i="1"/>
  <c r="E281" i="1"/>
  <c r="E280" i="1"/>
  <c r="E273" i="1"/>
  <c r="E272" i="1"/>
  <c r="E271" i="1"/>
  <c r="E270" i="1"/>
  <c r="E269" i="1"/>
  <c r="E268" i="1"/>
  <c r="E267" i="1"/>
  <c r="E266" i="1"/>
  <c r="E264" i="1"/>
  <c r="E263" i="1"/>
  <c r="E262" i="1"/>
  <c r="E261" i="1"/>
  <c r="E260" i="1"/>
  <c r="E259" i="1"/>
  <c r="E252" i="1"/>
  <c r="E251" i="1"/>
  <c r="E250" i="1"/>
  <c r="E249" i="1"/>
  <c r="E248" i="1"/>
  <c r="E247" i="1"/>
  <c r="E246" i="1"/>
  <c r="E245" i="1"/>
  <c r="E243" i="1"/>
  <c r="E242" i="1"/>
  <c r="E241" i="1"/>
  <c r="E240" i="1"/>
  <c r="E239" i="1"/>
  <c r="E238" i="1"/>
  <c r="E231" i="1"/>
  <c r="E230" i="1"/>
  <c r="E229" i="1"/>
  <c r="E228" i="1"/>
  <c r="E227" i="1"/>
  <c r="E226" i="1"/>
  <c r="E225" i="1"/>
  <c r="E224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2" i="1"/>
  <c r="E200" i="1"/>
  <c r="E199" i="1"/>
  <c r="E198" i="1"/>
  <c r="E197" i="1"/>
  <c r="E196" i="1"/>
  <c r="E188" i="1"/>
  <c r="E180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15" i="1"/>
  <c r="E114" i="1"/>
  <c r="E113" i="1"/>
  <c r="E111" i="1"/>
  <c r="E110" i="1"/>
  <c r="E108" i="1"/>
  <c r="K107" i="1"/>
  <c r="E106" i="1"/>
  <c r="E105" i="1"/>
  <c r="E104" i="1"/>
  <c r="E103" i="1"/>
  <c r="E102" i="1"/>
  <c r="K102" i="1" s="1"/>
  <c r="E101" i="1"/>
  <c r="E98" i="1"/>
  <c r="E97" i="1"/>
  <c r="E96" i="1"/>
  <c r="E95" i="1"/>
  <c r="E94" i="1"/>
  <c r="E90" i="1"/>
  <c r="E82" i="1"/>
  <c r="E75" i="1"/>
  <c r="E74" i="1"/>
  <c r="E73" i="1"/>
  <c r="E72" i="1"/>
  <c r="E71" i="1"/>
  <c r="E70" i="1"/>
  <c r="E69" i="1"/>
  <c r="E68" i="1"/>
  <c r="E66" i="1"/>
  <c r="E65" i="1"/>
  <c r="E64" i="1"/>
  <c r="E63" i="1"/>
  <c r="E62" i="1"/>
  <c r="E61" i="1"/>
  <c r="E54" i="1"/>
  <c r="E53" i="1"/>
  <c r="E52" i="1"/>
  <c r="E51" i="1"/>
  <c r="E50" i="1"/>
  <c r="E49" i="1"/>
  <c r="E48" i="1"/>
  <c r="E47" i="1"/>
  <c r="E45" i="1"/>
  <c r="E44" i="1"/>
  <c r="E43" i="1"/>
  <c r="E42" i="1"/>
  <c r="E41" i="1"/>
  <c r="E40" i="1"/>
  <c r="E32" i="1"/>
  <c r="E31" i="1"/>
  <c r="E30" i="1"/>
  <c r="E29" i="1"/>
  <c r="E27" i="1"/>
  <c r="E26" i="1"/>
  <c r="E24" i="1"/>
  <c r="E23" i="1"/>
  <c r="E22" i="1"/>
  <c r="E21" i="1"/>
  <c r="E20" i="1"/>
  <c r="E19" i="1"/>
  <c r="E18" i="1"/>
  <c r="E17" i="1"/>
  <c r="E15" i="1"/>
  <c r="E13" i="1"/>
  <c r="E12" i="1"/>
  <c r="E11" i="1"/>
  <c r="E10" i="1"/>
  <c r="E9" i="1"/>
  <c r="E6" i="1"/>
  <c r="E5" i="1"/>
  <c r="E4" i="1"/>
  <c r="E3" i="1"/>
  <c r="D11" i="7" l="1"/>
  <c r="E109" i="1" s="1"/>
  <c r="D5" i="7" l="1"/>
  <c r="B10" i="14" l="1"/>
  <c r="G16" i="14"/>
  <c r="E449" i="1" l="1"/>
  <c r="D3" i="7"/>
  <c r="B5" i="14" l="1"/>
  <c r="H4" i="14"/>
  <c r="H5" i="14"/>
  <c r="H6" i="14"/>
  <c r="B6" i="14"/>
  <c r="B7" i="14"/>
  <c r="H7" i="14"/>
  <c r="H20" i="14" l="1"/>
  <c r="H22" i="14"/>
  <c r="E461" i="1" s="1"/>
  <c r="E453" i="1" l="1"/>
  <c r="I20" i="14"/>
  <c r="H26" i="14"/>
  <c r="E477" i="1" s="1"/>
  <c r="H25" i="14"/>
  <c r="E473" i="1" s="1"/>
  <c r="H24" i="14"/>
  <c r="E469" i="1" s="1"/>
  <c r="H23" i="14"/>
  <c r="E465" i="1" s="1"/>
  <c r="I22" i="14"/>
  <c r="H34" i="14"/>
  <c r="E509" i="1" s="1"/>
  <c r="H33" i="14"/>
  <c r="E505" i="1" s="1"/>
  <c r="H32" i="14"/>
  <c r="E501" i="1" s="1"/>
  <c r="H31" i="14"/>
  <c r="E497" i="1" s="1"/>
  <c r="H30" i="14"/>
  <c r="E493" i="1" s="1"/>
  <c r="H29" i="14"/>
  <c r="E489" i="1" s="1"/>
  <c r="H28" i="14"/>
  <c r="E485" i="1" s="1"/>
  <c r="H27" i="14"/>
  <c r="E481" i="1" s="1"/>
  <c r="H21" i="14"/>
  <c r="E457" i="1" l="1"/>
  <c r="I21" i="14"/>
  <c r="I30" i="14"/>
  <c r="I34" i="14"/>
  <c r="I33" i="14"/>
  <c r="I32" i="14"/>
  <c r="I31" i="14"/>
  <c r="I29" i="14"/>
  <c r="I28" i="14"/>
  <c r="I27" i="14"/>
  <c r="I26" i="14"/>
  <c r="I25" i="14"/>
  <c r="I24" i="14"/>
  <c r="I23" i="14"/>
  <c r="I35" i="14" l="1"/>
  <c r="R136" i="13"/>
  <c r="R138" i="13"/>
  <c r="K138" i="13"/>
  <c r="D138" i="13"/>
  <c r="K66" i="13"/>
  <c r="R66" i="13"/>
  <c r="D105" i="13"/>
  <c r="K105" i="13"/>
  <c r="R105" i="13"/>
  <c r="D144" i="13"/>
  <c r="K144" i="13"/>
  <c r="R144" i="13"/>
  <c r="D66" i="13"/>
  <c r="R140" i="13"/>
  <c r="K140" i="13"/>
  <c r="D140" i="13"/>
  <c r="D101" i="13"/>
  <c r="K64" i="13"/>
  <c r="R64" i="13"/>
  <c r="D103" i="13"/>
  <c r="K103" i="13"/>
  <c r="R103" i="13"/>
  <c r="D142" i="13"/>
  <c r="K142" i="13"/>
  <c r="R142" i="13"/>
  <c r="D64" i="13"/>
  <c r="R101" i="13"/>
  <c r="K101" i="13"/>
  <c r="R62" i="13"/>
  <c r="K62" i="13"/>
  <c r="D62" i="13"/>
  <c r="D136" i="13"/>
  <c r="K136" i="13"/>
  <c r="D99" i="13"/>
  <c r="K99" i="13"/>
  <c r="R99" i="13"/>
  <c r="R97" i="13"/>
  <c r="D60" i="13"/>
  <c r="K60" i="13"/>
  <c r="E510" i="1" l="1"/>
  <c r="I36" i="14"/>
  <c r="K97" i="13"/>
  <c r="D97" i="13"/>
  <c r="D58" i="13"/>
  <c r="K58" i="13"/>
  <c r="R58" i="13"/>
  <c r="R60" i="13"/>
  <c r="D3" i="13" l="1"/>
  <c r="L5" i="7" l="1"/>
  <c r="D5" i="13" l="1"/>
  <c r="N5" i="13"/>
  <c r="R3" i="13"/>
  <c r="V5" i="7" l="1"/>
  <c r="I37" i="14" l="1"/>
</calcChain>
</file>

<file path=xl/sharedStrings.xml><?xml version="1.0" encoding="utf-8"?>
<sst xmlns="http://schemas.openxmlformats.org/spreadsheetml/2006/main" count="4421" uniqueCount="2027">
  <si>
    <t>TERDESC</t>
  </si>
  <si>
    <t>TERCODE</t>
  </si>
  <si>
    <t>LOCATION</t>
  </si>
  <si>
    <t>WOUND EDGE</t>
  </si>
  <si>
    <t>GOALS NOT REACHED</t>
  </si>
  <si>
    <t>Files-A</t>
  </si>
  <si>
    <t>Files-P</t>
  </si>
  <si>
    <t>Abdomen</t>
  </si>
  <si>
    <t>Viable</t>
  </si>
  <si>
    <t>Patient Deceased</t>
  </si>
  <si>
    <t>Ankle, left</t>
  </si>
  <si>
    <t>Other</t>
  </si>
  <si>
    <t>Rolled</t>
  </si>
  <si>
    <t>Further funding declined by Medical Aid / Insurer</t>
  </si>
  <si>
    <t>Ankle, right</t>
  </si>
  <si>
    <t>Fibrotic</t>
  </si>
  <si>
    <t>Discontinued at physician's instructions</t>
  </si>
  <si>
    <t>Arm, lower left</t>
  </si>
  <si>
    <t>Closed</t>
  </si>
  <si>
    <t>Patient refused to continue on therapy</t>
  </si>
  <si>
    <t>M8275040</t>
  </si>
  <si>
    <t>Arm, upper left</t>
  </si>
  <si>
    <t>Alternate provider approved</t>
  </si>
  <si>
    <t>M8275041</t>
  </si>
  <si>
    <t>Arm, upper right</t>
  </si>
  <si>
    <t>Patient non-compliant</t>
  </si>
  <si>
    <t>Arm,lower right</t>
  </si>
  <si>
    <t>Medical aid membership suspended</t>
  </si>
  <si>
    <t>M6275033</t>
  </si>
  <si>
    <t>Breast, left</t>
  </si>
  <si>
    <t>M6275034</t>
  </si>
  <si>
    <t>PTA EAST</t>
  </si>
  <si>
    <t>Breast, right</t>
  </si>
  <si>
    <t>PTA WEST</t>
  </si>
  <si>
    <t>Chin</t>
  </si>
  <si>
    <t>Ear, left</t>
  </si>
  <si>
    <t>LIMPOPO</t>
  </si>
  <si>
    <t>Ear, right</t>
  </si>
  <si>
    <t>Elbow, left</t>
  </si>
  <si>
    <t>M8275058</t>
  </si>
  <si>
    <t>Elbow, right</t>
  </si>
  <si>
    <t>Flank, left</t>
  </si>
  <si>
    <t>RUSTENBURG</t>
  </si>
  <si>
    <t>Flank, right</t>
  </si>
  <si>
    <t>M6275009</t>
  </si>
  <si>
    <t>Foot, heel left</t>
  </si>
  <si>
    <t>CAPE MEDICAL PLAN</t>
  </si>
  <si>
    <t>Foot, heel right</t>
  </si>
  <si>
    <t>M6275026</t>
  </si>
  <si>
    <t>Foot, left</t>
  </si>
  <si>
    <t>M8275057</t>
  </si>
  <si>
    <t>Foot, right</t>
  </si>
  <si>
    <t>VIAKIT077D01</t>
  </si>
  <si>
    <t>Foot, toes left</t>
  </si>
  <si>
    <t>M8275026</t>
  </si>
  <si>
    <t>Foot, toes right</t>
  </si>
  <si>
    <t>ULTVFL05SM</t>
  </si>
  <si>
    <t>DISCOVERY HEALTH</t>
  </si>
  <si>
    <t>PORT ELIZABETH</t>
  </si>
  <si>
    <t>ULTVFL05MD</t>
  </si>
  <si>
    <t>EAST LONDON</t>
  </si>
  <si>
    <t>Hand, digits left</t>
  </si>
  <si>
    <t>ULTVFL05LG</t>
  </si>
  <si>
    <t>Hand, digits right</t>
  </si>
  <si>
    <t>ULTVCL05MD</t>
  </si>
  <si>
    <t>Hand, left</t>
  </si>
  <si>
    <t>ULTDUO0500</t>
  </si>
  <si>
    <t>Hand, right</t>
  </si>
  <si>
    <t>ULTLNK0500</t>
  </si>
  <si>
    <t>Hip, left</t>
  </si>
  <si>
    <t>Hip, right</t>
  </si>
  <si>
    <t>Knee, left</t>
  </si>
  <si>
    <t>Knee, right</t>
  </si>
  <si>
    <t>Leg, lower left</t>
  </si>
  <si>
    <t>Leg, lower right</t>
  </si>
  <si>
    <t>Leg, upper left</t>
  </si>
  <si>
    <t>Leg, upper right</t>
  </si>
  <si>
    <t>Neck</t>
  </si>
  <si>
    <t>Occipital</t>
  </si>
  <si>
    <t>HORIZON MEDICAL SCHEME</t>
  </si>
  <si>
    <t>Ribs, left</t>
  </si>
  <si>
    <t>Ribs, right</t>
  </si>
  <si>
    <t>IMPALA MEDICAL PLAN</t>
  </si>
  <si>
    <t>Sacrum</t>
  </si>
  <si>
    <t>Shoulder, left</t>
  </si>
  <si>
    <t>Shoulder, right</t>
  </si>
  <si>
    <t>Spine, cervical</t>
  </si>
  <si>
    <t>Spine, lumbar</t>
  </si>
  <si>
    <t>Spine, thoracic</t>
  </si>
  <si>
    <t>Sternum</t>
  </si>
  <si>
    <t>Thigh, left</t>
  </si>
  <si>
    <t>Thigh, right</t>
  </si>
  <si>
    <t>Malignant wound</t>
  </si>
  <si>
    <t>MASSMART HEALTH PLAN</t>
  </si>
  <si>
    <t>MEDIHELP</t>
  </si>
  <si>
    <t>MRSA wound</t>
  </si>
  <si>
    <t>PLATINUM HEALTH</t>
  </si>
  <si>
    <t>PRIVATE SALES</t>
  </si>
  <si>
    <t>PROFMED</t>
  </si>
  <si>
    <t>SAMWUMED</t>
  </si>
  <si>
    <t>SWAZIMED</t>
  </si>
  <si>
    <t>Territory</t>
  </si>
  <si>
    <t>Patient Title:</t>
  </si>
  <si>
    <t>Name:</t>
  </si>
  <si>
    <t>Surname:</t>
  </si>
  <si>
    <t>Other Medical Aid:</t>
  </si>
  <si>
    <t>Location:</t>
  </si>
  <si>
    <t>Hospital:</t>
  </si>
  <si>
    <t>Ward:</t>
  </si>
  <si>
    <t>KCI Territory:</t>
  </si>
  <si>
    <t>Referring Dr:</t>
  </si>
  <si>
    <t>Assessment Date:</t>
  </si>
  <si>
    <t>Reason:</t>
  </si>
  <si>
    <t>INVOICE</t>
  </si>
  <si>
    <t xml:space="preserve">INVOICE NUMBER  </t>
  </si>
  <si>
    <t xml:space="preserve">INVOICE DATE  </t>
  </si>
  <si>
    <t>UNIT PRICE</t>
  </si>
  <si>
    <t>AMOUNT</t>
  </si>
  <si>
    <t xml:space="preserve"> SUBTOTAL</t>
  </si>
  <si>
    <t xml:space="preserve"> VAT</t>
  </si>
  <si>
    <t xml:space="preserve"> TOTAL</t>
  </si>
  <si>
    <t>DIRECT ALL INQUIRIES TO:</t>
  </si>
  <si>
    <t>Laura Wittstock</t>
  </si>
  <si>
    <t>011 - 315 0445</t>
  </si>
  <si>
    <t>Laura.Wittstock@acelity.com</t>
  </si>
  <si>
    <t>THANK YOU FOR YOUR BUSINESS!</t>
  </si>
  <si>
    <t>PATIENT STOCK ORDER FORM</t>
  </si>
  <si>
    <t>REQUIREMENT:</t>
  </si>
  <si>
    <t>Date Required:</t>
  </si>
  <si>
    <t>Delivery To:</t>
  </si>
  <si>
    <t>STOCK:</t>
  </si>
  <si>
    <t>Code</t>
  </si>
  <si>
    <t>Description</t>
  </si>
  <si>
    <t>Qty</t>
  </si>
  <si>
    <t>Discharge Date:</t>
  </si>
  <si>
    <t>WOUNDS:</t>
  </si>
  <si>
    <t>WOUND 1</t>
  </si>
  <si>
    <t>WOUND 2</t>
  </si>
  <si>
    <t>WOUND 3</t>
  </si>
  <si>
    <t>Category:</t>
  </si>
  <si>
    <t>Sub Type:</t>
  </si>
  <si>
    <t>Chronic / Acute:</t>
  </si>
  <si>
    <t>Moisture Balance:</t>
  </si>
  <si>
    <t>Wound Edges:</t>
  </si>
  <si>
    <t>Length/Width/Depth (cm):</t>
  </si>
  <si>
    <t>Tunneling (cm):</t>
  </si>
  <si>
    <t>Undermining (cm):</t>
  </si>
  <si>
    <t>Debridement Date:</t>
  </si>
  <si>
    <t>Wound Appearance:</t>
  </si>
  <si>
    <t xml:space="preserve">    Sloughy</t>
  </si>
  <si>
    <t xml:space="preserve">    Infected</t>
  </si>
  <si>
    <t>Wound Bed Colour:</t>
  </si>
  <si>
    <t xml:space="preserve">    Red</t>
  </si>
  <si>
    <t xml:space="preserve">    Yellow / Sloughy</t>
  </si>
  <si>
    <t>MCS</t>
  </si>
  <si>
    <t>If YES, HBA1c results:</t>
  </si>
  <si>
    <t>Glucose results:</t>
  </si>
  <si>
    <t>Patient Implemented:</t>
  </si>
  <si>
    <t>Primary Diagnosis:</t>
  </si>
  <si>
    <t>Secondary Diagnosis:</t>
  </si>
  <si>
    <t>ICD 10 Codes:</t>
  </si>
  <si>
    <t>Sheet</t>
  </si>
  <si>
    <t>Value</t>
  </si>
  <si>
    <t>Assessment</t>
  </si>
  <si>
    <t>DataGroup</t>
  </si>
  <si>
    <t>Header</t>
  </si>
  <si>
    <t>RowID</t>
  </si>
  <si>
    <t>Label</t>
  </si>
  <si>
    <t>PNP</t>
  </si>
  <si>
    <t>PatientTitle</t>
  </si>
  <si>
    <t>PatientName</t>
  </si>
  <si>
    <t>PatientSurname</t>
  </si>
  <si>
    <t>PatientDateOfBirth</t>
  </si>
  <si>
    <t>PatientMedFund</t>
  </si>
  <si>
    <t>Location</t>
  </si>
  <si>
    <t>HospitalName</t>
  </si>
  <si>
    <t>HospitalWard</t>
  </si>
  <si>
    <t>DischargeDate</t>
  </si>
  <si>
    <t>ReferringDr</t>
  </si>
  <si>
    <t>PracticeNumber</t>
  </si>
  <si>
    <t>CHRONIC WOUND</t>
  </si>
  <si>
    <t>Wound1</t>
  </si>
  <si>
    <t>YesNo</t>
  </si>
  <si>
    <t>Yes</t>
  </si>
  <si>
    <t>No</t>
  </si>
  <si>
    <t>Wound2</t>
  </si>
  <si>
    <t>Wound3</t>
  </si>
  <si>
    <t>Exudate</t>
  </si>
  <si>
    <t>POSTOPERATIVE</t>
  </si>
  <si>
    <t xml:space="preserve">  Granulation</t>
  </si>
  <si>
    <t xml:space="preserve">  Epithelialization</t>
  </si>
  <si>
    <t xml:space="preserve">         Granulation</t>
  </si>
  <si>
    <t xml:space="preserve">         Inflammation</t>
  </si>
  <si>
    <t>Footer</t>
  </si>
  <si>
    <t>MedicalHistory</t>
  </si>
  <si>
    <t>InvestigateGlucose</t>
  </si>
  <si>
    <t>InvestigateMCS</t>
  </si>
  <si>
    <t>PatientImplemented</t>
  </si>
  <si>
    <t>PrimaryDiagnosis</t>
  </si>
  <si>
    <t>SecondaryDiagnosis</t>
  </si>
  <si>
    <t>ICD10Codes</t>
  </si>
  <si>
    <t>StockOrder</t>
  </si>
  <si>
    <t>PatientMedFundNum</t>
  </si>
  <si>
    <t>MedAidOther</t>
  </si>
  <si>
    <t>Lines</t>
  </si>
  <si>
    <t>DateRequired</t>
  </si>
  <si>
    <t>Implemented Date:</t>
  </si>
  <si>
    <t>PATIENT PROGRESS REPORT</t>
  </si>
  <si>
    <t>Photo Date:</t>
  </si>
  <si>
    <t>FACTORS THAT MAY INFLUENCE WOUND HEALING:</t>
  </si>
  <si>
    <t>General Health:</t>
  </si>
  <si>
    <t>Home Environment:</t>
  </si>
  <si>
    <t>Mobility:</t>
  </si>
  <si>
    <t>Nutrition Status:</t>
  </si>
  <si>
    <t>Medication:</t>
  </si>
  <si>
    <t>Treatment Goals:</t>
  </si>
  <si>
    <t>DISCONTINUATION:</t>
  </si>
  <si>
    <t>Date:</t>
  </si>
  <si>
    <t>Treatment Goals Achieved:</t>
  </si>
  <si>
    <t>Other Reason:</t>
  </si>
  <si>
    <t>TRAUMA</t>
  </si>
  <si>
    <t>PLASTICS</t>
  </si>
  <si>
    <t>PALLIATION</t>
  </si>
  <si>
    <t>HYGIENIC PREVENTION</t>
  </si>
  <si>
    <t>Category</t>
  </si>
  <si>
    <t>Wound Type:</t>
  </si>
  <si>
    <t>Category NonTraumatic</t>
  </si>
  <si>
    <t>Hydradenitis suppurativa</t>
  </si>
  <si>
    <t>Necrotizing Fasciitis</t>
  </si>
  <si>
    <t>Non</t>
  </si>
  <si>
    <t>Cat POSTOPERATIVE</t>
  </si>
  <si>
    <t>Surgical dehiscence (non-healing surgical wound)</t>
  </si>
  <si>
    <t>Fistula</t>
  </si>
  <si>
    <t>Surgical non-dehiscence</t>
  </si>
  <si>
    <t>SubCatPostOp1</t>
  </si>
  <si>
    <t>SubCatPostOp2</t>
  </si>
  <si>
    <t>SubCatPostOp3</t>
  </si>
  <si>
    <t>Superficial infection - level of subcutaneous tissue (e.g. up to the fascia)</t>
  </si>
  <si>
    <t>Deep infection - subfascial and intramuscular</t>
  </si>
  <si>
    <t>Insufficient perfusion</t>
  </si>
  <si>
    <t>SubCatPostOp4</t>
  </si>
  <si>
    <t>Enterocutaneous fistula</t>
  </si>
  <si>
    <t>Lymphocutaneous fistula</t>
  </si>
  <si>
    <t>Vesicocutaneous fistula</t>
  </si>
  <si>
    <t>Cat Trauma</t>
  </si>
  <si>
    <t>Mechanical trauma wound</t>
  </si>
  <si>
    <t>Burns (thermic trauma)</t>
  </si>
  <si>
    <t>Radiation Ulcer</t>
  </si>
  <si>
    <t>SubCatTrauma1</t>
  </si>
  <si>
    <t>SubCatTrauma2</t>
  </si>
  <si>
    <t>SubCatTrauma3</t>
  </si>
  <si>
    <t>Traumatic soft tissue wound / defect - general</t>
  </si>
  <si>
    <t>Wound after fasciotomy - contaminated/non-contaminated</t>
  </si>
  <si>
    <t>Degloving injury</t>
  </si>
  <si>
    <t>Traumatic amputations</t>
  </si>
  <si>
    <t>1st Degree</t>
  </si>
  <si>
    <t>2nd Degree</t>
  </si>
  <si>
    <t>3rd Degree</t>
  </si>
  <si>
    <t>Cat Plastics</t>
  </si>
  <si>
    <t>Split Thickness Skin Graft</t>
  </si>
  <si>
    <t>Integra Fixation</t>
  </si>
  <si>
    <t>Three-dimensional flap construction</t>
  </si>
  <si>
    <t>SubCatPlastics1</t>
  </si>
  <si>
    <t>Wound bed preparation</t>
  </si>
  <si>
    <t>Graft fixation</t>
  </si>
  <si>
    <t>SubCatPlastics2</t>
  </si>
  <si>
    <t>SubCatPlastics3</t>
  </si>
  <si>
    <t>Cat Chronic</t>
  </si>
  <si>
    <t>Ulcus cruris</t>
  </si>
  <si>
    <t>Diabetic Foot Syndrome</t>
  </si>
  <si>
    <t>Pressure Ulcer</t>
  </si>
  <si>
    <t>SubCatChronic1</t>
  </si>
  <si>
    <t>SubCatChronic2</t>
  </si>
  <si>
    <t>SubCatChronic3</t>
  </si>
  <si>
    <t>Venous Leg Ulcer</t>
  </si>
  <si>
    <t>Mixed Leg Ulcer</t>
  </si>
  <si>
    <t>Arterial Leg Ulcer</t>
  </si>
  <si>
    <t>Deep ulcer, penetrating down to ligaments and muscle, but no bone involvement or abscess formation</t>
  </si>
  <si>
    <t>Ulcer that penetrates to bone or a deep abscess</t>
  </si>
  <si>
    <t>Localized gangrene.</t>
  </si>
  <si>
    <t>Extensive gangrene involving the whole foot</t>
  </si>
  <si>
    <t>Post-amputational wound</t>
  </si>
  <si>
    <t>Grade III</t>
  </si>
  <si>
    <t>Grade IV</t>
  </si>
  <si>
    <t>Cat Palliation</t>
  </si>
  <si>
    <t>Cat HygienicPrev</t>
  </si>
  <si>
    <t>Sub</t>
  </si>
  <si>
    <t>Sub Non</t>
  </si>
  <si>
    <t>NON TRAUMATIC NON POSTOPERATIVE INFECTIONS</t>
  </si>
  <si>
    <t>Non healing open wound</t>
  </si>
  <si>
    <t>Soft tissue infection general</t>
  </si>
  <si>
    <t>SubCatNonTrau1</t>
  </si>
  <si>
    <t>SubCatNonTrau2</t>
  </si>
  <si>
    <t>SubCatNonTrau3</t>
  </si>
  <si>
    <t>SubCatNonTrau4</t>
  </si>
  <si>
    <t>SubCatNonTrau5</t>
  </si>
  <si>
    <t>Septic wounds</t>
  </si>
  <si>
    <t>Perianal abscess</t>
  </si>
  <si>
    <t>Pilonidal sinus</t>
  </si>
  <si>
    <t>Pyoderma gangraenosum</t>
  </si>
  <si>
    <t>Complicated wound after sternotomy</t>
  </si>
  <si>
    <t>Open abdominal treatment (abdominal dressing)</t>
  </si>
  <si>
    <t>Intrathoracical and intra-abdominal wounds</t>
  </si>
  <si>
    <t>Infections of implants - after THA or TKA</t>
  </si>
  <si>
    <t>Infections of implants - vascular prothesis</t>
  </si>
  <si>
    <t>Infections of implants - abdominall wall hernia repair mesh</t>
  </si>
  <si>
    <t>Infections of orthopedic implants</t>
  </si>
  <si>
    <t>Infections of organs or body cavities (General)</t>
  </si>
  <si>
    <t>Select</t>
  </si>
  <si>
    <t>Groin, left</t>
  </si>
  <si>
    <t>Groin, right</t>
  </si>
  <si>
    <t>Less than 100</t>
  </si>
  <si>
    <t>101 - 300</t>
  </si>
  <si>
    <t>301 - 500</t>
  </si>
  <si>
    <t>501 - 1000</t>
  </si>
  <si>
    <t>More than 1000</t>
  </si>
  <si>
    <t>If Infection is present, provide Antibiotics and MCS Results</t>
  </si>
  <si>
    <t>Current Medication:</t>
  </si>
  <si>
    <t>ALLIANCE MIDMED MEDICAL SCHEME</t>
  </si>
  <si>
    <t>BARLOWORLD MEDICAL SCHEME</t>
  </si>
  <si>
    <t>ENGEN MEDICAL BENEFIT FUND</t>
  </si>
  <si>
    <t>GENESIS MEDICAL SCHEME</t>
  </si>
  <si>
    <t>GRINTEK ELECTRONICS MEDICAL SCHEME</t>
  </si>
  <si>
    <t>IMPERIAL GROUP MEDICAL SCHEME</t>
  </si>
  <si>
    <t>INTERNATIONAL SOS ASSISTANCE</t>
  </si>
  <si>
    <t>LIBERTY MEDICAL SCHEME</t>
  </si>
  <si>
    <t>MB MED MEDICAL SCHEME</t>
  </si>
  <si>
    <t>MOTOHEALTH</t>
  </si>
  <si>
    <t>NATIONAL TREASURY PENSION ADMINISTRATION</t>
  </si>
  <si>
    <t>ONECARE HEALTH</t>
  </si>
  <si>
    <t>OPTIMUM MEDICAL AID (OPMED)</t>
  </si>
  <si>
    <t>POLMED</t>
  </si>
  <si>
    <t>SABC MEDICAL SCHEME</t>
  </si>
  <si>
    <t>SASOLMED MEDICAL SCHEME</t>
  </si>
  <si>
    <t>SISONKE HEALTH MEDICAL SCHEME (Gold Fields)</t>
  </si>
  <si>
    <t>SIZWE MEDICAL AID</t>
  </si>
  <si>
    <t>TIGER BRANDS MEDICAL SCHEME</t>
  </si>
  <si>
    <t xml:space="preserve">        Granulation</t>
  </si>
  <si>
    <t xml:space="preserve">        Inflammation</t>
  </si>
  <si>
    <t>Alternate Provider Approved</t>
  </si>
  <si>
    <t>Clinical Information Insufficient</t>
  </si>
  <si>
    <t>Contraindication For Vac Therapy</t>
  </si>
  <si>
    <t>Does Not Meet Clinical Criteria</t>
  </si>
  <si>
    <t>Has Co-Morbidities / Non-Compliant</t>
  </si>
  <si>
    <t>Implemented Without Authorisation</t>
  </si>
  <si>
    <t>KCI Not Preferred Provider</t>
  </si>
  <si>
    <t>Limited Funding Option</t>
  </si>
  <si>
    <t>Membership Suspended</t>
  </si>
  <si>
    <t>No Benefits For Vac Therapy</t>
  </si>
  <si>
    <t>Patient To Have Conventional Treatment</t>
  </si>
  <si>
    <t>Pressure Ulcer Developed In Hospital</t>
  </si>
  <si>
    <t>Other (Specify in next field)</t>
  </si>
  <si>
    <t>DECLINE REASONS</t>
  </si>
  <si>
    <t xml:space="preserve">Category: </t>
  </si>
  <si>
    <t xml:space="preserve">Type: </t>
  </si>
  <si>
    <t xml:space="preserve">Sub Type: </t>
  </si>
  <si>
    <t>Treatment Plan</t>
  </si>
  <si>
    <t>Expedite granulation</t>
  </si>
  <si>
    <t>Reduce wound size and severity</t>
  </si>
  <si>
    <t>Temporary abdominal closure</t>
  </si>
  <si>
    <t>Instillation therapy</t>
  </si>
  <si>
    <t>Treatment Goals</t>
  </si>
  <si>
    <t>Reduction of wound size</t>
  </si>
  <si>
    <t>Reduction of oedema</t>
  </si>
  <si>
    <t>Formation of granulation tissue</t>
  </si>
  <si>
    <t>Improve Perfusion</t>
  </si>
  <si>
    <t>Decrease bacterial load</t>
  </si>
  <si>
    <t>Wound bed prep for skin graft/flap</t>
  </si>
  <si>
    <t>Skin graft fixation</t>
  </si>
  <si>
    <t xml:space="preserve">      Expedite granulation</t>
  </si>
  <si>
    <t xml:space="preserve">      Reduce wound size and severity</t>
  </si>
  <si>
    <t xml:space="preserve">      Temporary abdominal closure</t>
  </si>
  <si>
    <t xml:space="preserve">      Instillation therapy</t>
  </si>
  <si>
    <t xml:space="preserve">Treatment Plan:  </t>
  </si>
  <si>
    <t xml:space="preserve">Treatment Goals:  </t>
  </si>
  <si>
    <t xml:space="preserve">      Reduction of Wound size</t>
  </si>
  <si>
    <t xml:space="preserve">      Reduction of oedema</t>
  </si>
  <si>
    <t xml:space="preserve">      Formation of Granulation tissue</t>
  </si>
  <si>
    <t xml:space="preserve">      Improve Perfusion</t>
  </si>
  <si>
    <t xml:space="preserve">      Decrease bacterial load</t>
  </si>
  <si>
    <t xml:space="preserve">      Wound bed prep for skin graft/flap</t>
  </si>
  <si>
    <t xml:space="preserve">      Skin graft fixation</t>
  </si>
  <si>
    <t xml:space="preserve">   Epithelialization</t>
  </si>
  <si>
    <t>Guardian/Next of Kin Name</t>
  </si>
  <si>
    <t>Next of Kin Relationship</t>
  </si>
  <si>
    <t>Next of Kin Phone number</t>
  </si>
  <si>
    <t>Main Member ID Number</t>
  </si>
  <si>
    <t>Treating Doctor Contact Number</t>
  </si>
  <si>
    <t>Do you intend to use Vac Ulta?</t>
  </si>
  <si>
    <t xml:space="preserve">Investigative Results e.g. Glucose or MCS:     </t>
  </si>
  <si>
    <t xml:space="preserve">Diabetic   </t>
  </si>
  <si>
    <t>Plan</t>
  </si>
  <si>
    <t>Reduction of Wound size</t>
  </si>
  <si>
    <t>Formation of Granulation tissue</t>
  </si>
  <si>
    <t>Goals</t>
  </si>
  <si>
    <t>VacUlta</t>
  </si>
  <si>
    <t>CurrMeds</t>
  </si>
  <si>
    <t>SolutionVacUlta</t>
  </si>
  <si>
    <t>Personal</t>
  </si>
  <si>
    <t>NextOfKin</t>
  </si>
  <si>
    <t>NextOfKinPhone</t>
  </si>
  <si>
    <t>NextOfKinRelation</t>
  </si>
  <si>
    <t>MainMemberName</t>
  </si>
  <si>
    <t>MainMemberID</t>
  </si>
  <si>
    <t>Employer</t>
  </si>
  <si>
    <t>EmployerPhone</t>
  </si>
  <si>
    <t>DocPhone</t>
  </si>
  <si>
    <t>Progress</t>
  </si>
  <si>
    <t>ProgressReportDate</t>
  </si>
  <si>
    <t>ProgressHospital</t>
  </si>
  <si>
    <t>ProgressLocation</t>
  </si>
  <si>
    <t>ProgressWard</t>
  </si>
  <si>
    <t>ProgressTerritory</t>
  </si>
  <si>
    <t>ProgressWd1Moisture</t>
  </si>
  <si>
    <t>ProgressWd2Moisture</t>
  </si>
  <si>
    <t>ProgressWd3Moisture</t>
  </si>
  <si>
    <t>ProgressWd1Edge</t>
  </si>
  <si>
    <t>ProgressWd2Edge</t>
  </si>
  <si>
    <t>ProgressWd3Edge</t>
  </si>
  <si>
    <t>ProgressWd1Len</t>
  </si>
  <si>
    <t>ProgressWd2Len</t>
  </si>
  <si>
    <t>ProgressWd3Len</t>
  </si>
  <si>
    <t>ProgressWd1Wid</t>
  </si>
  <si>
    <t>ProgressWd2Wid</t>
  </si>
  <si>
    <t>ProgressWd3Wid</t>
  </si>
  <si>
    <t>ProgressWd1Dep</t>
  </si>
  <si>
    <t>ProgressWd2Dep</t>
  </si>
  <si>
    <t>ProgressWd3Dep</t>
  </si>
  <si>
    <t>ProgressWd1Tunnel</t>
  </si>
  <si>
    <t>ProgressWd2Tunnel</t>
  </si>
  <si>
    <t>ProgressWd3Tunnel</t>
  </si>
  <si>
    <t>ProgressWd1Undermine</t>
  </si>
  <si>
    <t>ProgressWd2Undermine</t>
  </si>
  <si>
    <t>ProgressWd3Undermine</t>
  </si>
  <si>
    <t>ProgressWd1DebrideDate</t>
  </si>
  <si>
    <t>ProgressWd2DebrideDate</t>
  </si>
  <si>
    <t>ProgressWd3DebrideDate</t>
  </si>
  <si>
    <t xml:space="preserve"> Epithelialization</t>
  </si>
  <si>
    <t>GeneralHealth</t>
  </si>
  <si>
    <t>HomeEnvironment</t>
  </si>
  <si>
    <t>Mobility</t>
  </si>
  <si>
    <t>NutritionStatus</t>
  </si>
  <si>
    <t>Medication</t>
  </si>
  <si>
    <t>ProgressToGoals</t>
  </si>
  <si>
    <t>FactorsHealing</t>
  </si>
  <si>
    <t>Discontinuation</t>
  </si>
  <si>
    <t>DateDiscontinue</t>
  </si>
  <si>
    <t>GoalsAchieved</t>
  </si>
  <si>
    <t>ReasonDiscontinued</t>
  </si>
  <si>
    <t>OtherReason</t>
  </si>
  <si>
    <t xml:space="preserve">Solution Prescribed for Vac Ulta:  </t>
  </si>
  <si>
    <t>Progress Date</t>
  </si>
  <si>
    <t>VAC VIA 7 DAY KIT</t>
  </si>
  <si>
    <t>Pr No (7 digits):</t>
  </si>
  <si>
    <t>Home Address:</t>
  </si>
  <si>
    <t>Date Ordered:</t>
  </si>
  <si>
    <t>DateOrdered</t>
  </si>
  <si>
    <t xml:space="preserve">Conventional Treatment used. </t>
  </si>
  <si>
    <t>ConventionalTreatment</t>
  </si>
  <si>
    <t>AssessWd2Moisture</t>
  </si>
  <si>
    <t>AssessWd3Moisture</t>
  </si>
  <si>
    <t>AssessWd1Edge</t>
  </si>
  <si>
    <t>AssessWd2Edge</t>
  </si>
  <si>
    <t>AssessWd3Edge</t>
  </si>
  <si>
    <t>AssessWd1Len</t>
  </si>
  <si>
    <t>AssessWd2Len</t>
  </si>
  <si>
    <t>AssessWd3Len</t>
  </si>
  <si>
    <t>AssessWd1Wid</t>
  </si>
  <si>
    <t>AssessWd2Wid</t>
  </si>
  <si>
    <t>AssessWd3Wid</t>
  </si>
  <si>
    <t>AssessWd1Tunnel</t>
  </si>
  <si>
    <t>AssessWd2Tunnel</t>
  </si>
  <si>
    <t>AssessWd3Tunnel</t>
  </si>
  <si>
    <t>AssessWd1Undermine</t>
  </si>
  <si>
    <t>AssessWd2Undermine</t>
  </si>
  <si>
    <t>AssessWd3Undermine</t>
  </si>
  <si>
    <t>AssessWd1DebrideDate</t>
  </si>
  <si>
    <t>AssessWd2DebrideDate</t>
  </si>
  <si>
    <t>AssessWd3DebrideDate</t>
  </si>
  <si>
    <t>AssessWd1Moisture</t>
  </si>
  <si>
    <t>AssessWd1ChronicAcute</t>
  </si>
  <si>
    <t>AssessWd2ChronicAcute</t>
  </si>
  <si>
    <t>AssessWd3ChronicAcute</t>
  </si>
  <si>
    <t>AssessWd1Epithelialization</t>
  </si>
  <si>
    <t>AssessWd2Epithelialization</t>
  </si>
  <si>
    <t>AssessWd3Epithelialization</t>
  </si>
  <si>
    <t>AssessWd1Exudate</t>
  </si>
  <si>
    <t>AssessWd2Exudate</t>
  </si>
  <si>
    <t>AssessWd3Exudate</t>
  </si>
  <si>
    <t>AssessWd1Granulation</t>
  </si>
  <si>
    <t>AssessWd2Granulation</t>
  </si>
  <si>
    <t>AssessWd3Granulation</t>
  </si>
  <si>
    <t>AssessWd1Infected</t>
  </si>
  <si>
    <t>AssessWd2Infected</t>
  </si>
  <si>
    <t>AssessWd3Infected</t>
  </si>
  <si>
    <t>AssessWd1Inflamed</t>
  </si>
  <si>
    <t>AssessWd2Inflamed</t>
  </si>
  <si>
    <t>AssessWd3Inflamed</t>
  </si>
  <si>
    <t>AssessWd1Sloughy</t>
  </si>
  <si>
    <t>AssessWd2Sloughy</t>
  </si>
  <si>
    <t>AssessWd3Sloughy</t>
  </si>
  <si>
    <t>AssessWd1WBedRed</t>
  </si>
  <si>
    <t>AssessWd2WBedRed</t>
  </si>
  <si>
    <t>AssessWd3WBedRed</t>
  </si>
  <si>
    <t>AssessWd1WBYellowSloughy</t>
  </si>
  <si>
    <t>AssessWd2WBYellowSloughy</t>
  </si>
  <si>
    <t>AssessWd3WBYellowSloughy</t>
  </si>
  <si>
    <t>AssessWd1Category</t>
  </si>
  <si>
    <t>AssessWd2Category</t>
  </si>
  <si>
    <t>AssessWd3Category</t>
  </si>
  <si>
    <t>AssessWd1Location</t>
  </si>
  <si>
    <t>AssessWd2Location</t>
  </si>
  <si>
    <t>AssessWd3Location</t>
  </si>
  <si>
    <t>AssessWd1SubType</t>
  </si>
  <si>
    <t>AssessWd2SubType</t>
  </si>
  <si>
    <t>AssessWd3SubType</t>
  </si>
  <si>
    <t>AssessWd2Type</t>
  </si>
  <si>
    <t>AssessWd3Type</t>
  </si>
  <si>
    <t>AssessWd1Depth</t>
  </si>
  <si>
    <t>AssessWd2Depth</t>
  </si>
  <si>
    <t>AssessWd3Depth</t>
  </si>
  <si>
    <t>ProgressWd1Epithelialization</t>
  </si>
  <si>
    <t>ProgressWd1Exudate</t>
  </si>
  <si>
    <t>ProgressWd1Granulation</t>
  </si>
  <si>
    <t>ProgressWd1Infected</t>
  </si>
  <si>
    <t>ProgressWd1Inflammation</t>
  </si>
  <si>
    <t>ProgressWd1Sloughy</t>
  </si>
  <si>
    <t>ProgressWd1WBedRed</t>
  </si>
  <si>
    <t>ProgressWd1WBYellowSloughy</t>
  </si>
  <si>
    <t>ProgressWd2Epithelialization</t>
  </si>
  <si>
    <t>ProgressWd2Exudate</t>
  </si>
  <si>
    <t>ProgressWd2Granulation</t>
  </si>
  <si>
    <t>ProgressWd2Infected</t>
  </si>
  <si>
    <t>ProgressWd2Inflammation</t>
  </si>
  <si>
    <t>ProgressWd2Sloughy</t>
  </si>
  <si>
    <t>ProgressWd2WBedRed</t>
  </si>
  <si>
    <t>ProgressWd2WBYellowSloughy</t>
  </si>
  <si>
    <t>ProgressWd3Epithelialization</t>
  </si>
  <si>
    <t>ProgressWd3Exudate</t>
  </si>
  <si>
    <t>ProgressWd3Granulation</t>
  </si>
  <si>
    <t>ProgressWd3Infected</t>
  </si>
  <si>
    <t>ProgressWd3Inflammation</t>
  </si>
  <si>
    <t>ProgressWd3Sloughy</t>
  </si>
  <si>
    <t>ProgressWd3WBedRed</t>
  </si>
  <si>
    <t>ProgressWd3WBYellowSloughy</t>
  </si>
  <si>
    <t>DeliveryAddress1</t>
  </si>
  <si>
    <t>DeliveryAddress2</t>
  </si>
  <si>
    <t>DeliveryAddress3</t>
  </si>
  <si>
    <t>DeliveryAddress4</t>
  </si>
  <si>
    <t>WOUND 4</t>
  </si>
  <si>
    <t>WOUND 5</t>
  </si>
  <si>
    <t>WOUND 6</t>
  </si>
  <si>
    <t>WOUND 7</t>
  </si>
  <si>
    <t>WOUND 8</t>
  </si>
  <si>
    <t>WOUND 9</t>
  </si>
  <si>
    <t>AssessWd4Category</t>
  </si>
  <si>
    <t>AssessWd4Location</t>
  </si>
  <si>
    <t>AssessWd4SubType</t>
  </si>
  <si>
    <t>AssessWd4ChronicAcute</t>
  </si>
  <si>
    <t>AssessWd4Inflamed</t>
  </si>
  <si>
    <t>AssessWd4Moisture</t>
  </si>
  <si>
    <t>AssessWd4Edge</t>
  </si>
  <si>
    <t>AssessWd4Len</t>
  </si>
  <si>
    <t>AssessWd4Wid</t>
  </si>
  <si>
    <t>AssessWd4Depth</t>
  </si>
  <si>
    <t>AssessWd4Tunnel</t>
  </si>
  <si>
    <t>AssessWd4Undermine</t>
  </si>
  <si>
    <t>AssessWd4DebrideDate</t>
  </si>
  <si>
    <t>AssessWd4Sloughy</t>
  </si>
  <si>
    <t>AssessWd4Infected</t>
  </si>
  <si>
    <t>AssessWd4Granulation</t>
  </si>
  <si>
    <t>AssessWd4Epithelialization</t>
  </si>
  <si>
    <t>AssessWd4WBedRed</t>
  </si>
  <si>
    <t>AssessWd4WBYellowSloughy</t>
  </si>
  <si>
    <t>AssessWd4Exudate</t>
  </si>
  <si>
    <t>AssessWd5Category</t>
  </si>
  <si>
    <t>AssessWd5Location</t>
  </si>
  <si>
    <t>AssessWd5Type</t>
  </si>
  <si>
    <t>AssessWd5SubType</t>
  </si>
  <si>
    <t>AssessWd5ChronicAcute</t>
  </si>
  <si>
    <t>AssessWd5Inflamed</t>
  </si>
  <si>
    <t>AssessWd5Moisture</t>
  </si>
  <si>
    <t>AssessWd5Edge</t>
  </si>
  <si>
    <t>AssessWd5Len</t>
  </si>
  <si>
    <t>AssessWd5Wid</t>
  </si>
  <si>
    <t>AssessWd5Depth</t>
  </si>
  <si>
    <t>AssessWd5Tunnel</t>
  </si>
  <si>
    <t>AssessWd5Undermine</t>
  </si>
  <si>
    <t>AssessWd5DebrideDate</t>
  </si>
  <si>
    <t>AssessWd5Sloughy</t>
  </si>
  <si>
    <t>AssessWd5Infected</t>
  </si>
  <si>
    <t>AssessWd5Granulation</t>
  </si>
  <si>
    <t>AssessWd5Epithelialization</t>
  </si>
  <si>
    <t>AssessWd5WBedRed</t>
  </si>
  <si>
    <t>AssessWd5WBYellowSloughy</t>
  </si>
  <si>
    <t>AssessWd5Exudate</t>
  </si>
  <si>
    <t>AssessWd6Category</t>
  </si>
  <si>
    <t>AssessWd6Location</t>
  </si>
  <si>
    <t>AssessWd6Type</t>
  </si>
  <si>
    <t>AssessWd6SubType</t>
  </si>
  <si>
    <t>AssessWd6ChronicAcute</t>
  </si>
  <si>
    <t>AssessWd6Inflamed</t>
  </si>
  <si>
    <t>AssessWd6Moisture</t>
  </si>
  <si>
    <t>AssessWd6Edge</t>
  </si>
  <si>
    <t>AssessWd6Len</t>
  </si>
  <si>
    <t>AssessWd6Wid</t>
  </si>
  <si>
    <t>AssessWd6Depth</t>
  </si>
  <si>
    <t>AssessWd6Tunnel</t>
  </si>
  <si>
    <t>AssessWd6Undermine</t>
  </si>
  <si>
    <t>AssessWd6DebrideDate</t>
  </si>
  <si>
    <t>AssessWd6Sloughy</t>
  </si>
  <si>
    <t>AssessWd6Infected</t>
  </si>
  <si>
    <t>AssessWd6Granulation</t>
  </si>
  <si>
    <t>AssessWd6Epithelialization</t>
  </si>
  <si>
    <t>AssessWd6WBedRed</t>
  </si>
  <si>
    <t>AssessWd6WBYellowSloughy</t>
  </si>
  <si>
    <t>AssessWd6Exudate</t>
  </si>
  <si>
    <t>AssessWd7Category</t>
  </si>
  <si>
    <t>AssessWd7Location</t>
  </si>
  <si>
    <t>AssessWd7SubType</t>
  </si>
  <si>
    <t>AssessWd7ChronicAcute</t>
  </si>
  <si>
    <t>AssessWd7Inflamed</t>
  </si>
  <si>
    <t>AssessWd7Moisture</t>
  </si>
  <si>
    <t>AssessWd7Edge</t>
  </si>
  <si>
    <t>AssessWd7Len</t>
  </si>
  <si>
    <t>AssessWd7Wid</t>
  </si>
  <si>
    <t>AssessWd7Depth</t>
  </si>
  <si>
    <t>AssessWd7Tunnel</t>
  </si>
  <si>
    <t>AssessWd7Undermine</t>
  </si>
  <si>
    <t>AssessWd7DebrideDate</t>
  </si>
  <si>
    <t>AssessWd7Sloughy</t>
  </si>
  <si>
    <t>AssessWd7Infected</t>
  </si>
  <si>
    <t>AssessWd7Granulation</t>
  </si>
  <si>
    <t>AssessWd7Epithelialization</t>
  </si>
  <si>
    <t>AssessWd7WBedRed</t>
  </si>
  <si>
    <t>AssessWd7WBYellowSloughy</t>
  </si>
  <si>
    <t>AssessWd7Exudate</t>
  </si>
  <si>
    <t>AssessWd8Category</t>
  </si>
  <si>
    <t>AssessWd8Location</t>
  </si>
  <si>
    <t>AssessWd8Type</t>
  </si>
  <si>
    <t>AssessWd8SubType</t>
  </si>
  <si>
    <t>AssessWd8ChronicAcute</t>
  </si>
  <si>
    <t>AssessWd8Inflamed</t>
  </si>
  <si>
    <t>AssessWd8Moisture</t>
  </si>
  <si>
    <t>AssessWd8Edge</t>
  </si>
  <si>
    <t>AssessWd8Len</t>
  </si>
  <si>
    <t>AssessWd8Wid</t>
  </si>
  <si>
    <t>AssessWd8Depth</t>
  </si>
  <si>
    <t>AssessWd8Tunnel</t>
  </si>
  <si>
    <t>AssessWd8Undermine</t>
  </si>
  <si>
    <t>AssessWd8DebrideDate</t>
  </si>
  <si>
    <t>AssessWd8Sloughy</t>
  </si>
  <si>
    <t>AssessWd8Infected</t>
  </si>
  <si>
    <t>AssessWd8Granulation</t>
  </si>
  <si>
    <t>AssessWd8Epithelialization</t>
  </si>
  <si>
    <t>AssessWd8WBedRed</t>
  </si>
  <si>
    <t>AssessWd8WBYellowSloughy</t>
  </si>
  <si>
    <t>AssessWd8Exudate</t>
  </si>
  <si>
    <t>AssessWd9Category</t>
  </si>
  <si>
    <t>AssessWd9Location</t>
  </si>
  <si>
    <t>AssessWd9Type</t>
  </si>
  <si>
    <t>AssessWd9SubType</t>
  </si>
  <si>
    <t>AssessWd9ChronicAcute</t>
  </si>
  <si>
    <t>AssessWd9Inflamed</t>
  </si>
  <si>
    <t>AssessWd9Moisture</t>
  </si>
  <si>
    <t>AssessWd9Edge</t>
  </si>
  <si>
    <t>AssessWd9Len</t>
  </si>
  <si>
    <t>AssessWd9Wid</t>
  </si>
  <si>
    <t>AssessWd9Depth</t>
  </si>
  <si>
    <t>AssessWd9Tunnel</t>
  </si>
  <si>
    <t>AssessWd9Undermine</t>
  </si>
  <si>
    <t>AssessWd9DebrideDate</t>
  </si>
  <si>
    <t>AssessWd9Sloughy</t>
  </si>
  <si>
    <t>AssessWd9Infected</t>
  </si>
  <si>
    <t>AssessWd9Granulation</t>
  </si>
  <si>
    <t>AssessWd9Epithelialization</t>
  </si>
  <si>
    <t>AssessWd9WBedRed</t>
  </si>
  <si>
    <t>AssessWd9WBYellowSloughy</t>
  </si>
  <si>
    <t>AssessWd9Exudate</t>
  </si>
  <si>
    <t>ml/24hrs</t>
  </si>
  <si>
    <t>Wound4</t>
  </si>
  <si>
    <t>Wound5</t>
  </si>
  <si>
    <t>Wound6</t>
  </si>
  <si>
    <t>Wound7</t>
  </si>
  <si>
    <t>Wound8</t>
  </si>
  <si>
    <t>Wound9</t>
  </si>
  <si>
    <t>ProgressWd4Moisture</t>
  </si>
  <si>
    <t>ProgressWd4Edge</t>
  </si>
  <si>
    <t>ProgressWd4Len</t>
  </si>
  <si>
    <t>ProgressWd4Wid</t>
  </si>
  <si>
    <t>ProgressWd4Dep</t>
  </si>
  <si>
    <t>ProgressWd4Tunnel</t>
  </si>
  <si>
    <t>ProgressWd4Undermine</t>
  </si>
  <si>
    <t>ProgressWd4DebrideDate</t>
  </si>
  <si>
    <t>ProgressWd4Sloughy</t>
  </si>
  <si>
    <t>ProgressWd4Infected</t>
  </si>
  <si>
    <t>ProgressWd4Inflammation</t>
  </si>
  <si>
    <t>ProgressWd4Epithelialization</t>
  </si>
  <si>
    <t>ProgressWd4Granulation</t>
  </si>
  <si>
    <t>ProgressWd4WBedRed</t>
  </si>
  <si>
    <t>ProgressWd4WBYellowSloughy</t>
  </si>
  <si>
    <t>ProgressWd4Exudate</t>
  </si>
  <si>
    <t>ProgressWd5Moisture</t>
  </si>
  <si>
    <t>ProgressWd5Edge</t>
  </si>
  <si>
    <t>ProgressWd5Len</t>
  </si>
  <si>
    <t>ProgressWd5Wid</t>
  </si>
  <si>
    <t>ProgressWd5Dep</t>
  </si>
  <si>
    <t>ProgressWd5Tunnel</t>
  </si>
  <si>
    <t>ProgressWd5Undermine</t>
  </si>
  <si>
    <t>ProgressWd5DebrideDate</t>
  </si>
  <si>
    <t>ProgressWd5Sloughy</t>
  </si>
  <si>
    <t>ProgressWd5Infected</t>
  </si>
  <si>
    <t>ProgressWd5Inflammation</t>
  </si>
  <si>
    <t>ProgressWd5Epithelialization</t>
  </si>
  <si>
    <t>ProgressWd5Granulation</t>
  </si>
  <si>
    <t>ProgressWd5WBedRed</t>
  </si>
  <si>
    <t>ProgressWd5WBYellowSloughy</t>
  </si>
  <si>
    <t>ProgressWd5Exudate</t>
  </si>
  <si>
    <t>ProgressWd6Moisture</t>
  </si>
  <si>
    <t>ProgressWd6Edge</t>
  </si>
  <si>
    <t>ProgressWd6Len</t>
  </si>
  <si>
    <t>ProgressWd6Wid</t>
  </si>
  <si>
    <t>ProgressWd6Dep</t>
  </si>
  <si>
    <t>ProgressWd6Tunnel</t>
  </si>
  <si>
    <t>ProgressWd6Undermine</t>
  </si>
  <si>
    <t>ProgressWd6DebrideDate</t>
  </si>
  <si>
    <t>ProgressWd6Sloughy</t>
  </si>
  <si>
    <t>ProgressWd6Infected</t>
  </si>
  <si>
    <t>ProgressWd6Inflammation</t>
  </si>
  <si>
    <t>ProgressWd6Epithelialization</t>
  </si>
  <si>
    <t>ProgressWd6Granulation</t>
  </si>
  <si>
    <t>ProgressWd6WBedRed</t>
  </si>
  <si>
    <t>ProgressWd6WBYellowSloughy</t>
  </si>
  <si>
    <t>ProgressWd6Exudate</t>
  </si>
  <si>
    <t>ProgressWd7Moisture</t>
  </si>
  <si>
    <t>ProgressWd7Edge</t>
  </si>
  <si>
    <t>ProgressWd7Len</t>
  </si>
  <si>
    <t>ProgressWd7Wid</t>
  </si>
  <si>
    <t>ProgressWd7Dep</t>
  </si>
  <si>
    <t>ProgressWd7Tunnel</t>
  </si>
  <si>
    <t>ProgressWd7Undermine</t>
  </si>
  <si>
    <t>ProgressWd7DebrideDate</t>
  </si>
  <si>
    <t>ProgressWd7Sloughy</t>
  </si>
  <si>
    <t>ProgressWd7Infected</t>
  </si>
  <si>
    <t>ProgressWd7Inflammation</t>
  </si>
  <si>
    <t>ProgressWd7Epithelialization</t>
  </si>
  <si>
    <t>ProgressWd7Granulation</t>
  </si>
  <si>
    <t>ProgressWd7WBedRed</t>
  </si>
  <si>
    <t>ProgressWd7WBYellowSloughy</t>
  </si>
  <si>
    <t>ProgressWd7Exudate</t>
  </si>
  <si>
    <t>ProgressWd8Moisture</t>
  </si>
  <si>
    <t>ProgressWd8Edge</t>
  </si>
  <si>
    <t>ProgressWd8Len</t>
  </si>
  <si>
    <t>ProgressWd8Wid</t>
  </si>
  <si>
    <t>ProgressWd8Dep</t>
  </si>
  <si>
    <t>ProgressWd8Tunnel</t>
  </si>
  <si>
    <t>ProgressWd8Undermine</t>
  </si>
  <si>
    <t>ProgressWd8DebrideDate</t>
  </si>
  <si>
    <t>ProgressWd8Sloughy</t>
  </si>
  <si>
    <t>ProgressWd8Infected</t>
  </si>
  <si>
    <t>ProgressWd8Inflammation</t>
  </si>
  <si>
    <t>ProgressWd8Epithelialization</t>
  </si>
  <si>
    <t>ProgressWd8Granulation</t>
  </si>
  <si>
    <t>ProgressWd8WBedRed</t>
  </si>
  <si>
    <t>ProgressWd8WBYellowSloughy</t>
  </si>
  <si>
    <t>ProgressWd8Exudate</t>
  </si>
  <si>
    <t>ProgressWd9Moisture</t>
  </si>
  <si>
    <t>ProgressWd9Edge</t>
  </si>
  <si>
    <t>ProgressWd9Len</t>
  </si>
  <si>
    <t>ProgressWd9Wid</t>
  </si>
  <si>
    <t>ProgressWd9Dep</t>
  </si>
  <si>
    <t>ProgressWd9Tunnel</t>
  </si>
  <si>
    <t>ProgressWd9Undermine</t>
  </si>
  <si>
    <t>ProgressWd9DebrideDate</t>
  </si>
  <si>
    <t>ProgressWd9Sloughy</t>
  </si>
  <si>
    <t>ProgressWd9Infected</t>
  </si>
  <si>
    <t>ProgressWd9Inflammation</t>
  </si>
  <si>
    <t>ProgressWd9Epithelialization</t>
  </si>
  <si>
    <t>ProgressWd9Granulation</t>
  </si>
  <si>
    <t>ProgressWd9WBedRed</t>
  </si>
  <si>
    <t>ProgressWd9WBYellowSloughy</t>
  </si>
  <si>
    <t>ProgressWd9Exudate</t>
  </si>
  <si>
    <t>TYPE</t>
  </si>
  <si>
    <t>DATE</t>
  </si>
  <si>
    <t>PATIENT NAME</t>
  </si>
  <si>
    <t>ClaimItems</t>
  </si>
  <si>
    <t>PREVENA</t>
  </si>
  <si>
    <t>Dressing Change Theatre</t>
  </si>
  <si>
    <t>Dressing Change</t>
  </si>
  <si>
    <t>Call-Out</t>
  </si>
  <si>
    <t>Cost</t>
  </si>
  <si>
    <t>VATRate</t>
  </si>
  <si>
    <t>Invoice</t>
  </si>
  <si>
    <t>Date1</t>
  </si>
  <si>
    <t>Type1</t>
  </si>
  <si>
    <t>Desc1</t>
  </si>
  <si>
    <t>Amount1</t>
  </si>
  <si>
    <t>Date2</t>
  </si>
  <si>
    <t>Type2</t>
  </si>
  <si>
    <t>Desc2</t>
  </si>
  <si>
    <t>Amount2</t>
  </si>
  <si>
    <t>Date3</t>
  </si>
  <si>
    <t>Type3</t>
  </si>
  <si>
    <t>Desc3</t>
  </si>
  <si>
    <t>Amount3</t>
  </si>
  <si>
    <t>Date4</t>
  </si>
  <si>
    <t>Type4</t>
  </si>
  <si>
    <t>Desc4</t>
  </si>
  <si>
    <t>Amount4</t>
  </si>
  <si>
    <t>Date5</t>
  </si>
  <si>
    <t>Type5</t>
  </si>
  <si>
    <t>Desc5</t>
  </si>
  <si>
    <t>Amount5</t>
  </si>
  <si>
    <t>Date6</t>
  </si>
  <si>
    <t>Type6</t>
  </si>
  <si>
    <t>Desc6</t>
  </si>
  <si>
    <t>Amount6</t>
  </si>
  <si>
    <t>Date7</t>
  </si>
  <si>
    <t>Type7</t>
  </si>
  <si>
    <t>Desc7</t>
  </si>
  <si>
    <t>Amount7</t>
  </si>
  <si>
    <t>Date8</t>
  </si>
  <si>
    <t>Type8</t>
  </si>
  <si>
    <t>Desc8</t>
  </si>
  <si>
    <t>Amount8</t>
  </si>
  <si>
    <t>Date9</t>
  </si>
  <si>
    <t>Type9</t>
  </si>
  <si>
    <t>Desc9</t>
  </si>
  <si>
    <t>Amount9</t>
  </si>
  <si>
    <t>Date10</t>
  </si>
  <si>
    <t>Type10</t>
  </si>
  <si>
    <t>Desc10</t>
  </si>
  <si>
    <t>Amount10</t>
  </si>
  <si>
    <t>Date11</t>
  </si>
  <si>
    <t>Type11</t>
  </si>
  <si>
    <t>Desc11</t>
  </si>
  <si>
    <t>Amount11</t>
  </si>
  <si>
    <t>Date12</t>
  </si>
  <si>
    <t>Type12</t>
  </si>
  <si>
    <t>Desc12</t>
  </si>
  <si>
    <t>Amount12</t>
  </si>
  <si>
    <t>Date13</t>
  </si>
  <si>
    <t>Type13</t>
  </si>
  <si>
    <t>Desc13</t>
  </si>
  <si>
    <t>Amount13</t>
  </si>
  <si>
    <t>Date14</t>
  </si>
  <si>
    <t>Type14</t>
  </si>
  <si>
    <t>Desc14</t>
  </si>
  <si>
    <t>Amount14</t>
  </si>
  <si>
    <t>Date15</t>
  </si>
  <si>
    <t>Type15</t>
  </si>
  <si>
    <t>Desc15</t>
  </si>
  <si>
    <t>Amount15</t>
  </si>
  <si>
    <t>Line1</t>
  </si>
  <si>
    <t>Line2</t>
  </si>
  <si>
    <t>Line3</t>
  </si>
  <si>
    <t>Line4</t>
  </si>
  <si>
    <t>Line5</t>
  </si>
  <si>
    <t>Line6</t>
  </si>
  <si>
    <t>Line7</t>
  </si>
  <si>
    <t>Line8</t>
  </si>
  <si>
    <t>Line9</t>
  </si>
  <si>
    <t>Line10</t>
  </si>
  <si>
    <t>Line11</t>
  </si>
  <si>
    <t>Line12</t>
  </si>
  <si>
    <t>Line13</t>
  </si>
  <si>
    <t>Line14</t>
  </si>
  <si>
    <t>Line15</t>
  </si>
  <si>
    <t>Patient</t>
  </si>
  <si>
    <t>Visit Info</t>
  </si>
  <si>
    <t>Assessment - Wound - Wound Category</t>
  </si>
  <si>
    <t>Assessment - Wound - Wound Location</t>
  </si>
  <si>
    <t>Assessment - Wound - Wound Type</t>
  </si>
  <si>
    <t>Assessment - Wound - Wound Sub Type</t>
  </si>
  <si>
    <t>Assessment - Wound - Wound Condition</t>
  </si>
  <si>
    <t>Assessment - Wound</t>
  </si>
  <si>
    <t>Progress - Wound - Wound Category</t>
  </si>
  <si>
    <t>Progress - Wound - Wound Location</t>
  </si>
  <si>
    <t>Progress - Wound - Wound Type</t>
  </si>
  <si>
    <t>Progress - Wound - Wound Sub Type</t>
  </si>
  <si>
    <t>Progress - Wound - Wound Condition</t>
  </si>
  <si>
    <t>Invoice Details</t>
  </si>
  <si>
    <t>Workflow: Case File</t>
  </si>
  <si>
    <t>Street Code:</t>
  </si>
  <si>
    <t>Postal Address:</t>
  </si>
  <si>
    <t>Postal Code:</t>
  </si>
  <si>
    <t>HomeAddress1</t>
  </si>
  <si>
    <t>HomeAddress2</t>
  </si>
  <si>
    <t>HomeAddress3</t>
  </si>
  <si>
    <t>HomeAddress4</t>
  </si>
  <si>
    <t>StreetCode</t>
  </si>
  <si>
    <t>PostalAddress1</t>
  </si>
  <si>
    <t>PostalAddress2</t>
  </si>
  <si>
    <t>PostalAddress3</t>
  </si>
  <si>
    <t>PostalAddress4</t>
  </si>
  <si>
    <t>PostalCode</t>
  </si>
  <si>
    <t>JHB FAR EAST</t>
  </si>
  <si>
    <t>SOLD TO:</t>
  </si>
  <si>
    <t>Systagenix Wound Management SA (Pty) Ltd</t>
  </si>
  <si>
    <t>Block 24, Thornhill Park</t>
  </si>
  <si>
    <t>94 Bekker Road</t>
  </si>
  <si>
    <t>Midrand, 1685</t>
  </si>
  <si>
    <t>InvoicePNP</t>
  </si>
  <si>
    <t>DOB (Enter as YYYYMMDD):</t>
  </si>
  <si>
    <t>Other Location:</t>
  </si>
  <si>
    <t>OtherLocation</t>
  </si>
  <si>
    <t>M8275065</t>
  </si>
  <si>
    <t>REASON FOR CALL-OUTS</t>
  </si>
  <si>
    <t>ImplementedDate</t>
  </si>
  <si>
    <t>CurrMedSurgInfo</t>
  </si>
  <si>
    <t>Totals</t>
  </si>
  <si>
    <t>InvSubTotal</t>
  </si>
  <si>
    <t>AssessWd1Type</t>
  </si>
  <si>
    <t>AssessWd4Type</t>
  </si>
  <si>
    <t>AssessWd7Type</t>
  </si>
  <si>
    <t>PatientPhone</t>
  </si>
  <si>
    <t xml:space="preserve">Patient Phone Number:   </t>
  </si>
  <si>
    <t>Progress made towards Treatment Goals:</t>
  </si>
  <si>
    <t>Title:</t>
  </si>
  <si>
    <t>CAD7050</t>
  </si>
  <si>
    <t>CAD7011</t>
  </si>
  <si>
    <t>CAD7020</t>
  </si>
  <si>
    <t>CAD7230</t>
  </si>
  <si>
    <t>TCH501</t>
  </si>
  <si>
    <t>TCH502</t>
  </si>
  <si>
    <t>TCH503</t>
  </si>
  <si>
    <t>TCH504</t>
  </si>
  <si>
    <t>Stock Management</t>
  </si>
  <si>
    <t>ProgressLocationOther</t>
  </si>
  <si>
    <t>AssessmentDate</t>
  </si>
  <si>
    <t>Version</t>
  </si>
  <si>
    <t>InvoiceNumber</t>
  </si>
  <si>
    <t>Invoice Header</t>
  </si>
  <si>
    <t>InvoiceDate</t>
  </si>
  <si>
    <t>ASCOT PARK HOSPITAL</t>
  </si>
  <si>
    <t>BEACON BAY LIFE HOSPITAL</t>
  </si>
  <si>
    <t>BOTSHELONG HOSPITAL</t>
  </si>
  <si>
    <t>CAPE GATE MEDICLINIC</t>
  </si>
  <si>
    <t>CLARO CLINIC</t>
  </si>
  <si>
    <t>CORONA HOSPITAL</t>
  </si>
  <si>
    <t>DAYMED HOSPITAL</t>
  </si>
  <si>
    <t>EMFULENI MEDICLINIC</t>
  </si>
  <si>
    <t>ERNEST OPPENHEIMER PRIVATE HOSPITAL</t>
  </si>
  <si>
    <t>GARIEP MEDICLINIC</t>
  </si>
  <si>
    <t>GREENACRES HOSPITAL</t>
  </si>
  <si>
    <t>GREY MONUMENT PRIVATE CLINIC</t>
  </si>
  <si>
    <t>KLOOF MEDICLINIC</t>
  </si>
  <si>
    <t>LA FEMME HOSPITAL</t>
  </si>
  <si>
    <t>LERATONG HOSPITAL</t>
  </si>
  <si>
    <t>LEGAE MEDICLINIC</t>
  </si>
  <si>
    <t>LESLEY WILLIAMS PRIVATE HOSPITAL</t>
  </si>
  <si>
    <t>LIMPOPO MEDICLINIC</t>
  </si>
  <si>
    <t>MEDICARE STEPDOWN</t>
  </si>
  <si>
    <t>MELOMED PRIVATE HOSPITAL</t>
  </si>
  <si>
    <t>MOOIMED HOSPITAL</t>
  </si>
  <si>
    <t>MOOIRIVIER HOSPITAL</t>
  </si>
  <si>
    <t>MTHATHA SUB-ACUTE HOSPITAL</t>
  </si>
  <si>
    <t>N17 HOSPITAL</t>
  </si>
  <si>
    <t>NALEDI CLINIX</t>
  </si>
  <si>
    <t>MERCANTILE HOSPITAL</t>
  </si>
  <si>
    <t>PELONOMI NETCARE PRIVATE HOSPITAL</t>
  </si>
  <si>
    <t>POTCHEFSTROOM MEDI-CLINIC</t>
  </si>
  <si>
    <t>PRIMED HOSPITAL</t>
  </si>
  <si>
    <t>RYNMED REHAB</t>
  </si>
  <si>
    <t>SELBY PRIVATE CLINIX</t>
  </si>
  <si>
    <t>TRICHARDT MEDICLINIC</t>
  </si>
  <si>
    <t>TZANEEN MEDICLINIC</t>
  </si>
  <si>
    <t>UNIVERSITAS (NETCARE) PRIVATE HOSPITAL</t>
  </si>
  <si>
    <t>WATERFALL CITY (NETCARE) HOSPITAL</t>
  </si>
  <si>
    <t>QA0</t>
  </si>
  <si>
    <t>JHB EAST</t>
  </si>
  <si>
    <t>QA1</t>
  </si>
  <si>
    <t>JHB FAR WEST</t>
  </si>
  <si>
    <t>QA2</t>
  </si>
  <si>
    <t>JHB WEST</t>
  </si>
  <si>
    <t>QA3</t>
  </si>
  <si>
    <t>QA4</t>
  </si>
  <si>
    <t>JHB NORTH</t>
  </si>
  <si>
    <t>QA5</t>
  </si>
  <si>
    <t>JHB SOUTH</t>
  </si>
  <si>
    <t>QC5</t>
  </si>
  <si>
    <t>QA6</t>
  </si>
  <si>
    <t>QA7</t>
  </si>
  <si>
    <t>QC0</t>
  </si>
  <si>
    <t>QC1</t>
  </si>
  <si>
    <t>QC7</t>
  </si>
  <si>
    <t>QC2</t>
  </si>
  <si>
    <t>QC3</t>
  </si>
  <si>
    <t>QC4</t>
  </si>
  <si>
    <t>QC6</t>
  </si>
  <si>
    <t>QD0</t>
  </si>
  <si>
    <t>QD1</t>
  </si>
  <si>
    <t>QD3</t>
  </si>
  <si>
    <t>QD4</t>
  </si>
  <si>
    <t>QD5</t>
  </si>
  <si>
    <t>QD6</t>
  </si>
  <si>
    <t>QD11</t>
  </si>
  <si>
    <t>QD8</t>
  </si>
  <si>
    <t>QD9</t>
  </si>
  <si>
    <t>QD10</t>
  </si>
  <si>
    <t xml:space="preserve">NETCARE MEDICAL SCHEME      </t>
  </si>
  <si>
    <t>IsCompulsory</t>
  </si>
  <si>
    <t>Location - Other:</t>
  </si>
  <si>
    <t>TracerUser</t>
  </si>
  <si>
    <t>UserID</t>
  </si>
  <si>
    <t>Med Aid No:</t>
  </si>
  <si>
    <t>DataType</t>
  </si>
  <si>
    <t>MinLength</t>
  </si>
  <si>
    <t>MaxLength</t>
  </si>
  <si>
    <t>int</t>
  </si>
  <si>
    <t>datetime</t>
  </si>
  <si>
    <t>decimal</t>
  </si>
  <si>
    <t>varchar</t>
  </si>
  <si>
    <t>IsEnabled</t>
  </si>
  <si>
    <t>WoundVisit</t>
  </si>
  <si>
    <t>PNP Cell Number:</t>
  </si>
  <si>
    <t>ULTVCC05MD</t>
  </si>
  <si>
    <t>VAC Y-CONNECTORS</t>
  </si>
  <si>
    <t xml:space="preserve">VAC DRAPE </t>
  </si>
  <si>
    <t>VAC GEL STRIPS</t>
  </si>
  <si>
    <t>Dressing Change Nanova</t>
  </si>
  <si>
    <t>M8275051</t>
  </si>
  <si>
    <t>M8275052</t>
  </si>
  <si>
    <t>M8275053</t>
  </si>
  <si>
    <t>M8275096</t>
  </si>
  <si>
    <t>M8275063</t>
  </si>
  <si>
    <t>M8275093</t>
  </si>
  <si>
    <t>M6275066</t>
  </si>
  <si>
    <t>M772028</t>
  </si>
  <si>
    <t>M772123</t>
  </si>
  <si>
    <t>PS2028</t>
  </si>
  <si>
    <t>PS2123</t>
  </si>
  <si>
    <t>MAS065</t>
  </si>
  <si>
    <t>MAS105</t>
  </si>
  <si>
    <t>MAS190</t>
  </si>
  <si>
    <t>Treatment Plan Description:</t>
  </si>
  <si>
    <t>AssessTreatmentPlan</t>
  </si>
  <si>
    <t>ProgTreatmentPlan</t>
  </si>
  <si>
    <t xml:space="preserve">          Inflammation</t>
  </si>
  <si>
    <t xml:space="preserve">          Granulation</t>
  </si>
  <si>
    <t>Year</t>
  </si>
  <si>
    <t>Month</t>
  </si>
  <si>
    <t>Day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</si>
  <si>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</si>
  <si>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</si>
  <si>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</si>
  <si>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</si>
  <si>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</si>
  <si>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</si>
  <si>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</si>
  <si>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</si>
  <si>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</si>
  <si>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Location when "Other" above:</t>
  </si>
  <si>
    <t>VAC CHALLENGE GENERIC WOUND</t>
  </si>
  <si>
    <t>Wound Assessment Date:</t>
  </si>
  <si>
    <t>Wound Off VAC Date</t>
  </si>
  <si>
    <t>AssessWd1StartDate</t>
  </si>
  <si>
    <t>AssessWd2StartDate</t>
  </si>
  <si>
    <t>AssessWd3StartDate</t>
  </si>
  <si>
    <t>AssessWd4StartDate</t>
  </si>
  <si>
    <t>AssessWd5StartDate</t>
  </si>
  <si>
    <t>AssessWd6StartDate</t>
  </si>
  <si>
    <t>AssessWd7StartDate</t>
  </si>
  <si>
    <t>AssessWd8StartDate</t>
  </si>
  <si>
    <t>AssessWd9StartDate</t>
  </si>
  <si>
    <t>Progress - Wound</t>
  </si>
  <si>
    <t>VAC GranuFoam Small Dressing Kit</t>
  </si>
  <si>
    <t>VAC GranuFoam Medium Dressing Kit</t>
  </si>
  <si>
    <t>VAC GranuFoam Large Dressing Kit</t>
  </si>
  <si>
    <t>VAC GranuFoam Simplace Medium Dressing Kit</t>
  </si>
  <si>
    <t>VAC GranuFoam Simplace Small Dressing Kit</t>
  </si>
  <si>
    <t>VAC PVA Dressing Assembly (White foam Small)</t>
  </si>
  <si>
    <t>VAC PVA Dressing Assembly (White foam Large)</t>
  </si>
  <si>
    <t>VAC GranuFoam Silver Medium Dressing Kit</t>
  </si>
  <si>
    <t>Acti VAC Canister (300ml)</t>
  </si>
  <si>
    <t>Info VAC Canister (500ml)</t>
  </si>
  <si>
    <t>Info VAC Canister (1000ml)</t>
  </si>
  <si>
    <t>VAC ULTA INSTILLATION VERAFLO SMALL DRESSING</t>
  </si>
  <si>
    <t>VAC ULTA INSTILLATION VERAFLO MEDIUM DRESSING</t>
  </si>
  <si>
    <t>VAC ULTA INSTILLATION VERAFLO CLEANSE MEDIUM DRESSING</t>
  </si>
  <si>
    <t>VAC ULTA INSTILLATION VERA TRAC DUO</t>
  </si>
  <si>
    <t>VAC ULTA INSTILLATION CASSETTE (VERALINK)</t>
  </si>
  <si>
    <t>VAC ULTA INSTILLATION VERAFLO LARGE DRESSING</t>
  </si>
  <si>
    <t>PREVENA PEEL &amp; PLACE KIT</t>
  </si>
  <si>
    <t>PRE1101</t>
  </si>
  <si>
    <t>PRE4001</t>
  </si>
  <si>
    <t>PROMOGRAN - Protease modulating matrix (28cm²)</t>
  </si>
  <si>
    <t>PROMOGRAN - Protease modulating matrix (123cm²)</t>
  </si>
  <si>
    <t>ADAPTIC DIGIT - Non-adherent dressing small (Ø 2cm)</t>
  </si>
  <si>
    <t>MAD003</t>
  </si>
  <si>
    <t>ADAPTIC DIGIT - Non-adherent dressing medium (Ø 2.4cm)</t>
  </si>
  <si>
    <t>MAD013</t>
  </si>
  <si>
    <t>ADAPTIC DIGIT - Non-adherent dressing large (Ø 2.8cm)</t>
  </si>
  <si>
    <t>MAD023</t>
  </si>
  <si>
    <t>ADAPTIC DIGIT - Non-adherent dressing extra large (Ø 3cm)</t>
  </si>
  <si>
    <t>MAD042</t>
  </si>
  <si>
    <t>ADAPTIC DIGIT - Non-adherent dressing toe (Ø 2.8cm)</t>
  </si>
  <si>
    <t>MAD062</t>
  </si>
  <si>
    <t>NU-GEL - Hydrogel with alginate (15g)</t>
  </si>
  <si>
    <t>MNG415</t>
  </si>
  <si>
    <t>MNG425</t>
  </si>
  <si>
    <t>MTL100EN</t>
  </si>
  <si>
    <t>MTL101EN</t>
  </si>
  <si>
    <t>MTL102</t>
  </si>
  <si>
    <t>MTL104</t>
  </si>
  <si>
    <t>MTP501</t>
  </si>
  <si>
    <t>MTP502</t>
  </si>
  <si>
    <t>MTP505</t>
  </si>
  <si>
    <t>MTL309</t>
  </si>
  <si>
    <t>DYNAFLEX - 3 layer compression bandage system</t>
  </si>
  <si>
    <t>ProgressWd1EndDate</t>
  </si>
  <si>
    <t>ProgressWd2EndDate</t>
  </si>
  <si>
    <t>ProgressWd3EndDate</t>
  </si>
  <si>
    <t>ProgressWd4EndDate</t>
  </si>
  <si>
    <t>ProgressWd5EndDate</t>
  </si>
  <si>
    <t>ProgressWd6EndDate</t>
  </si>
  <si>
    <t>ProgressWd7EndDate</t>
  </si>
  <si>
    <t>ProgressWd8EndDate</t>
  </si>
  <si>
    <t>ProgressWd9EndDate</t>
  </si>
  <si>
    <t/>
  </si>
  <si>
    <t>VAC Challenge</t>
  </si>
  <si>
    <t xml:space="preserve">Delivery Contact Number: </t>
  </si>
  <si>
    <t>DeliveryContactNumber</t>
  </si>
  <si>
    <t>AssessWd1LocationOther</t>
  </si>
  <si>
    <t>AssessWd2LocationOther</t>
  </si>
  <si>
    <t>AssessWd3LocationOther</t>
  </si>
  <si>
    <t>AssessWd4LocationOther</t>
  </si>
  <si>
    <t>AssessWd5LocationOther</t>
  </si>
  <si>
    <t>AssessWd6LocationOther</t>
  </si>
  <si>
    <t>AssessWd7LocationOther</t>
  </si>
  <si>
    <t>AssessWd8LocationOther</t>
  </si>
  <si>
    <t>AssessWd9LocationOther</t>
  </si>
  <si>
    <r>
      <t xml:space="preserve">Medical History: </t>
    </r>
    <r>
      <rPr>
        <b/>
        <sz val="11"/>
        <rFont val="Goudy Old Style"/>
        <family val="1"/>
      </rPr>
      <t xml:space="preserve"> Include all past treatment history and duration, include co-morbidities/chronic illnesses, current medical and surgical information, wound description and reason for Vac Therapy</t>
    </r>
    <r>
      <rPr>
        <b/>
        <sz val="12"/>
        <rFont val="Goudy Old Style"/>
        <family val="1"/>
      </rPr>
      <t xml:space="preserve"> </t>
    </r>
  </si>
  <si>
    <t>Null</t>
  </si>
  <si>
    <t>Main member Name/Surname</t>
  </si>
  <si>
    <t>QC10</t>
  </si>
  <si>
    <t>AKASIA KLINIEK</t>
  </si>
  <si>
    <t>ALBERLITO HOSPITAL</t>
  </si>
  <si>
    <t>ANNCRON CLINIC</t>
  </si>
  <si>
    <t>ARWYP MEDICAL CENTRE</t>
  </si>
  <si>
    <t>AURORA HOSPITAL</t>
  </si>
  <si>
    <t>BARBERTON MEDI-CLINIC</t>
  </si>
  <si>
    <t>BAY HOSPITAL</t>
  </si>
  <si>
    <t>BEDFORD GARDENS PRIVATE HOSPITAL</t>
  </si>
  <si>
    <t>BELLSTREET HOSPITAL</t>
  </si>
  <si>
    <t>BLAAWBERG NETCARE PRIVATE HOSPITAL</t>
  </si>
  <si>
    <t>BLOEMFONTEIN MEDI-CLINIC</t>
  </si>
  <si>
    <t>BOUGAINVILLE PRIVATE HOSPITAL</t>
  </si>
  <si>
    <t>BRENTHURST CLINIC</t>
  </si>
  <si>
    <t>BRITS MEDI-CLINIC</t>
  </si>
  <si>
    <t>BRONKHORSTSPRUIT PRIVATE HOSPITAL</t>
  </si>
  <si>
    <t>CAIRNHALL HOSPITAL</t>
  </si>
  <si>
    <t>CAPE EYE HOSPITAL</t>
  </si>
  <si>
    <t>CAPE TOWN MEDI-CLINIC</t>
  </si>
  <si>
    <t>CARSTENHOF CLINIC</t>
  </si>
  <si>
    <t>CERES HOSPITAL</t>
  </si>
  <si>
    <t>CHATSMED GARDEN HOSPITAL</t>
  </si>
  <si>
    <t>CHRIS BARNARD MEMORIAL HOSPITAL</t>
  </si>
  <si>
    <t>CITY HOSPITAL</t>
  </si>
  <si>
    <t>CLAREMONT HOSPITAL</t>
  </si>
  <si>
    <t>CLAYTON HOUSE</t>
  </si>
  <si>
    <t>CLE DU CAP HEALTH CARE CENTRE</t>
  </si>
  <si>
    <t>CLINTON CLINIC</t>
  </si>
  <si>
    <t>CONSTANTIABERG MEDI-CLINIC</t>
  </si>
  <si>
    <t>CORMED CLINIC</t>
  </si>
  <si>
    <t>COSMOS HOSPITAL</t>
  </si>
  <si>
    <t>CROMPTON HOSPITAL</t>
  </si>
  <si>
    <t>CUYLER HOSPITAL</t>
  </si>
  <si>
    <t>DALVIEW CLINIC</t>
  </si>
  <si>
    <t>DENMAR SPECIALIST PSYCHIATRIC HOSPITAL</t>
  </si>
  <si>
    <t>DONALD GORDON MEDICAL CENTRE (FORMERLY KENRIDGE HOSPITAL)</t>
  </si>
  <si>
    <t>DURBANVILLE MEDI-CLINIC</t>
  </si>
  <si>
    <t>DURDOC CLINIC</t>
  </si>
  <si>
    <t>EAST LONDON PRIVATE HOSPITAL</t>
  </si>
  <si>
    <t>EMPANGENI GARDEN CLINIC</t>
  </si>
  <si>
    <t>ENTABENI HOSPITAL</t>
  </si>
  <si>
    <t>ERMELO MEDI-CLINIC</t>
  </si>
  <si>
    <t>ETHEKWINI HOSPITAL</t>
  </si>
  <si>
    <t>EUGENE MARAIS HOSPITAL</t>
  </si>
  <si>
    <t>FAERIE GLEN HOSPITAL</t>
  </si>
  <si>
    <t>FEMINA WOMENS HOSPITAL</t>
  </si>
  <si>
    <t>FERNCREST HOSPITAL</t>
  </si>
  <si>
    <t>FLORA CLINIC</t>
  </si>
  <si>
    <t>FOURWAYS HOSPITAL</t>
  </si>
  <si>
    <t>GARDEN CITY CLINIC</t>
  </si>
  <si>
    <t>GATESVILLE MEDICAL CENTRE</t>
  </si>
  <si>
    <t>GENEVA CLINIC</t>
  </si>
  <si>
    <t>GEORGE MEDICLINIC</t>
  </si>
  <si>
    <t>GLYNNWOOD LIFE HOSPITAL</t>
  </si>
  <si>
    <t>HERMANUS MEDI-CLINIC</t>
  </si>
  <si>
    <t>HIBISCUS HOSPITAL</t>
  </si>
  <si>
    <t>HIGHVELD MEDI-CLINIC</t>
  </si>
  <si>
    <t>HILLCREST HOSPITAL</t>
  </si>
  <si>
    <t>HOOGLAND MEDI-CLINIC</t>
  </si>
  <si>
    <t>HOWICK PRIVATE HOSPITAL</t>
  </si>
  <si>
    <t>HUNTERSCRAIG CLINIC</t>
  </si>
  <si>
    <t>IMPALA HOSPITAL</t>
  </si>
  <si>
    <t>ISIPINGO HOSPITAL</t>
  </si>
  <si>
    <t>JAKARANDA HOSPITAL</t>
  </si>
  <si>
    <t>KATHU MEDICLINIC</t>
  </si>
  <si>
    <t>KENILWORTH CLINIC</t>
  </si>
  <si>
    <t>KIMBERLEY MEDICLINIC</t>
  </si>
  <si>
    <t>KINGSBURY HOSPITAL</t>
  </si>
  <si>
    <t>KINGSWAY HOSPITAL</t>
  </si>
  <si>
    <t>KLEIN KAROO MEDI-CLINIC</t>
  </si>
  <si>
    <t>KNYSNA PRIVATE HOSPITAL</t>
  </si>
  <si>
    <t>KOKSTAD PRIVATE HOSPITAL</t>
  </si>
  <si>
    <t>KROON HOSPITAL</t>
  </si>
  <si>
    <t>KRUGERSDORP PRIVATE HOSPITAL</t>
  </si>
  <si>
    <t>KUILS RIVER HOSPITAL</t>
  </si>
  <si>
    <t>LA VERNA HOSPITAL</t>
  </si>
  <si>
    <t>LAMPRECHT CLINIC</t>
  </si>
  <si>
    <t>LENMED CLINIC</t>
  </si>
  <si>
    <t>LESEDI PRIVATE HOSPITAL</t>
  </si>
  <si>
    <t>LINKSFIELD PARK CLINIC</t>
  </si>
  <si>
    <t>LINMED HOSPITAL</t>
  </si>
  <si>
    <t>LITTLE COMPANY OF MARY</t>
  </si>
  <si>
    <t>LOUIS LEIPOLDT MEDI-CLINIC</t>
  </si>
  <si>
    <t>LOUIS PASTEUR HOSPITAL</t>
  </si>
  <si>
    <t>LYNNMED CLINIC</t>
  </si>
  <si>
    <t>MARGATE HOSPITAL</t>
  </si>
  <si>
    <t>MAXWELL CLINIC</t>
  </si>
  <si>
    <t>MEDCARE CLINIC</t>
  </si>
  <si>
    <t>MEDFEM CLINIC</t>
  </si>
  <si>
    <t>MEDFORUM GENERAL AND HEART HOSPITAL</t>
  </si>
  <si>
    <t>MEDIVAAL HOSPITAL</t>
  </si>
  <si>
    <t>MIDLANDS MEDICAL CENTRE</t>
  </si>
  <si>
    <t>MIDMED HOSPITAL</t>
  </si>
  <si>
    <t>MIDVAAL HOSPITAL</t>
  </si>
  <si>
    <t>MILNERTON MEDI-CLINIC</t>
  </si>
  <si>
    <t>MILPARK HOSPITAL</t>
  </si>
  <si>
    <t>MITCHELLS PLAIN MEDICAL CENTRE</t>
  </si>
  <si>
    <t>MONTANA PRIVATE HOSPITAL</t>
  </si>
  <si>
    <t>MOOT ALGEMENE HOSPITAAL</t>
  </si>
  <si>
    <t>MORNINGSIDE MEDI-CLINIC</t>
  </si>
  <si>
    <t>MOUNT EDGECOMBE HOSPITAL</t>
  </si>
  <si>
    <t>MUELMED HOSPITAL</t>
  </si>
  <si>
    <t>MULBARTON HOSPITAL</t>
  </si>
  <si>
    <t>N1 CITY HOSPITAL</t>
  </si>
  <si>
    <t>NELSPRUIT MEDI-CLINIC</t>
  </si>
  <si>
    <t>NETCARE REHABILITATION HOSPITAL</t>
  </si>
  <si>
    <t>NEW KENSINGTON CLINIC (REHAB)</t>
  </si>
  <si>
    <t>NEWCASTLE PRIVATE HOSPITAL</t>
  </si>
  <si>
    <t>NEWLANDS SURGICAL CLINIC</t>
  </si>
  <si>
    <t>NU-SHIFA HOSPITAL</t>
  </si>
  <si>
    <t>OLIVEDALE CLINIC</t>
  </si>
  <si>
    <t>OPTIKLIN EYE HOSPITAL</t>
  </si>
  <si>
    <t>PAARL MEDI-CLINIC</t>
  </si>
  <si>
    <t>PANORAMA MEDI-CLINIC</t>
  </si>
  <si>
    <t>PARK LANE CLINIC</t>
  </si>
  <si>
    <t>PARKLANDS HOSPITAL</t>
  </si>
  <si>
    <t>PARKMED NEURO KLINIEK</t>
  </si>
  <si>
    <t>PASTEUR HOSPITAL</t>
  </si>
  <si>
    <t>PEGLERAE HOSPITAL</t>
  </si>
  <si>
    <t>PIETERMARITZBURG MEDI-CLINIC</t>
  </si>
  <si>
    <t>PONGOLA HOSPITAL</t>
  </si>
  <si>
    <t>PRETORIA EAST PRIVATE HOSPITAL</t>
  </si>
  <si>
    <t>PRETORIA EYE INSTITUTE</t>
  </si>
  <si>
    <t>PRETORIA GYNAECOLOGICAL HOSPITAL</t>
  </si>
  <si>
    <t>PRETORIA HEART HOSPITAL</t>
  </si>
  <si>
    <t>PRETORIA UROLOGY HOSPITAL</t>
  </si>
  <si>
    <t>QUEENSTOWN PRIVATE HOSPITAL</t>
  </si>
  <si>
    <t>RAND CLINIC</t>
  </si>
  <si>
    <t>RIEMLAND KLINIEK</t>
  </si>
  <si>
    <t>RIVERFIELD LODGE</t>
  </si>
  <si>
    <t>RIVERVIEW COUNTRY HOSPITAL</t>
  </si>
  <si>
    <t>ROBINSON PRIVATE HOSPITAL</t>
  </si>
  <si>
    <t>ROSEACRES CLINIC</t>
  </si>
  <si>
    <t>ROSEBANK CLINIC</t>
  </si>
  <si>
    <t>ROSEPARK HOSPITAL</t>
  </si>
  <si>
    <t>SANDTON MEDI-CLINIC</t>
  </si>
  <si>
    <t>SEBOKENG CLINIX PRIVATE HOSPITAL</t>
  </si>
  <si>
    <t>SECUNDA HOSPITAL</t>
  </si>
  <si>
    <t>SOUTHERN CROSS NETCARE HOSPITAL</t>
  </si>
  <si>
    <t>SOWETO CLINIX PRIVATE HOSPITAL</t>
  </si>
  <si>
    <t>SPRINGS PARKLAND CLINIC</t>
  </si>
  <si>
    <t>ST ANNE'S HOSPITAL</t>
  </si>
  <si>
    <t>ST AUGUSTINE'S HOSPITAL</t>
  </si>
  <si>
    <t>ST DOMINIC'S HOSPITAL</t>
  </si>
  <si>
    <t>ST GEORGE'S HOSPITAL</t>
  </si>
  <si>
    <t>ST HELENA HOSPITAL</t>
  </si>
  <si>
    <t>ST JAMES HOSPITAL</t>
  </si>
  <si>
    <t>ST MARK'S CLINIC</t>
  </si>
  <si>
    <t>ST MARY'S PRIVATE HOSPITAL</t>
  </si>
  <si>
    <t>ST VINCENT'S HOSPITAL</t>
  </si>
  <si>
    <t>STELLENBOSCH MEDI-CLINIC</t>
  </si>
  <si>
    <t>STRAND PRIVATE HOSPITAL</t>
  </si>
  <si>
    <t>SUIKERBOSRAND CLINIC</t>
  </si>
  <si>
    <t>SUNNINGDALE HOSPITAL</t>
  </si>
  <si>
    <t>SUNNINGHILL HOSPITAL</t>
  </si>
  <si>
    <t>SUNSHINE HOSPITAL</t>
  </si>
  <si>
    <t>SUNWARD PARK HOSPITAL</t>
  </si>
  <si>
    <t>UCT PRIVATE ACADEMIC HOSPITAL</t>
  </si>
  <si>
    <t>UMHLANGA HOSPITAL</t>
  </si>
  <si>
    <t>UNION HOSPITAL</t>
  </si>
  <si>
    <t>UNITAS HOSPITAL</t>
  </si>
  <si>
    <t>UPINGTON MEDI-CLINIC</t>
  </si>
  <si>
    <t>VAALPARK HOSPITAL</t>
  </si>
  <si>
    <t>VEREENIGING MEDI-CLINIC</t>
  </si>
  <si>
    <t>VERGELEGEN MEDI-CLINIC</t>
  </si>
  <si>
    <t>VICTORIA CLINIX PRIVATE HOSPITAL</t>
  </si>
  <si>
    <t>VINCENT PALLOTTI HOSPITAL</t>
  </si>
  <si>
    <t>VISTA CLINIC</t>
  </si>
  <si>
    <t>VRYBURG PRIVATE HOSPITAL</t>
  </si>
  <si>
    <t>WELKOM MEDI-CLINIC</t>
  </si>
  <si>
    <t>WEST COAST PRIVATE HOSPITAL</t>
  </si>
  <si>
    <t>WESTVILLE HOSPITAL</t>
  </si>
  <si>
    <t>WILGEHEUWEL PRIVATE HOSPITAL</t>
  </si>
  <si>
    <t>WILGERS HOSPITAL</t>
  </si>
  <si>
    <t>WILMED PARK PRIVATE HOSPITAL</t>
  </si>
  <si>
    <t>WISANI MEDICAL CENTRE</t>
  </si>
  <si>
    <t>WORCESTER MEDI-CLINIC</t>
  </si>
  <si>
    <t>ZAMOKUHLE PRIVATE HOSPITAL</t>
  </si>
  <si>
    <t>ZUID-AFRIKAANS HOSPITAL &amp; DIAKONESSENHUIS</t>
  </si>
  <si>
    <t>BUSAMED MODDERFONTEIN PRIVATE HOSPITAL</t>
  </si>
  <si>
    <t>KWADAKUZA HOSPITAL</t>
  </si>
  <si>
    <t>RANDFONTEIN PRIVATE HOSPITAL</t>
  </si>
  <si>
    <t>HOSPITAL</t>
  </si>
  <si>
    <t>NON TRAUMATIC ABSCESS</t>
  </si>
  <si>
    <t>Cat NonTrAbsc</t>
  </si>
  <si>
    <t>SubCatNonTrAbsc2</t>
  </si>
  <si>
    <t>SubCatNonTrAbsc1</t>
  </si>
  <si>
    <t>Cutaneous Abscess</t>
  </si>
  <si>
    <t>Infectious</t>
  </si>
  <si>
    <t>Open wound</t>
  </si>
  <si>
    <t>Post incision and drainage</t>
  </si>
  <si>
    <t>Furuncle or Boil</t>
  </si>
  <si>
    <t>ADVANCED KNYSNA SURGICAL CENTRE</t>
  </si>
  <si>
    <t>BAYVIEW PRIVATE HOSPITAL</t>
  </si>
  <si>
    <t>BUSAMED LOWVELD HOSPITAL</t>
  </si>
  <si>
    <t>CANGO MEDI CENTRE</t>
  </si>
  <si>
    <t>CAPITAL HOSPITAL</t>
  </si>
  <si>
    <t>CAREWELL SUB ACUTE HOSPITAL</t>
  </si>
  <si>
    <t>EDEN GARDENS PRIVATE HOSPITAL</t>
  </si>
  <si>
    <t>GENEVA MEDI CLINIC</t>
  </si>
  <si>
    <t>GEORGE SURGICAL CENTRE</t>
  </si>
  <si>
    <t>HEALTH CENTRE SOUTHERN CAPE</t>
  </si>
  <si>
    <t>HILTON PRIVATE HOSPITAL</t>
  </si>
  <si>
    <t>KIAAT PRIVATE HOSPITAL</t>
  </si>
  <si>
    <t>LEPHALALE MEDI CLINIC</t>
  </si>
  <si>
    <t>LOTUS SUB ACUTE REHABILTATION CENTRE</t>
  </si>
  <si>
    <t>M-CARE STEPDOWN</t>
  </si>
  <si>
    <t>NETCARE HOSPITAL POLOKWANE (PHOLOSO)</t>
  </si>
  <si>
    <t>ORCHARD LODGE STEP DOWN FACILITY</t>
  </si>
  <si>
    <t>PLETTENBERG BAY MEDI CLINIC</t>
  </si>
  <si>
    <t>PRO CARE SUB ACUTE &amp; STEP DOWN FACILITY</t>
  </si>
  <si>
    <t>SOUTHERN CAPE SUB-ACUTE AND REHABILITATION HOSPITAL</t>
  </si>
  <si>
    <t>SOUTPANSBERG PRIVATE HOSPITAL</t>
  </si>
  <si>
    <t>TABAZIMBI MEDI CLINIC</t>
  </si>
  <si>
    <t>VIDAMED DAY HOSPITAL</t>
  </si>
  <si>
    <t>AIMS (ALLIANCE INTERNATIONAL MEDICAL SERVICES)</t>
  </si>
  <si>
    <t>ANGLO MEDICAL SCHEME</t>
  </si>
  <si>
    <t>BANKMED</t>
  </si>
  <si>
    <t>BCIMA (BUILDING &amp; CONSTRUCTION INDUSTRY MEDICAL AID FUND)</t>
  </si>
  <si>
    <t>BESTMED MEDICAL SCHEME</t>
  </si>
  <si>
    <t>BMW EMPLOYEES MEDICAL SCHEME</t>
  </si>
  <si>
    <t>BOMAID (BOTSWANA MEDICAL AID SOCIETY)</t>
  </si>
  <si>
    <t>BP MEDICAL AID SOCIETY</t>
  </si>
  <si>
    <t>BUPA MEDICAL INSURANCE</t>
  </si>
  <si>
    <t>CAMAF (CHARTERED ACCOUNTANTS MEDICAL AID FUND)</t>
  </si>
  <si>
    <t>COID/WCA (COMPENSATION FOR OCCUPATIONAL INJURIES &amp; DISEASES)</t>
  </si>
  <si>
    <t>COID/WCA HOSPITAL ORDERS</t>
  </si>
  <si>
    <t>COMPCARE</t>
  </si>
  <si>
    <t>DE BEERS BENEFIT SOCIETY</t>
  </si>
  <si>
    <t>DISCOVERY HEALTH KEYCARE PLAN</t>
  </si>
  <si>
    <t>FOOD WORKERS MEDICAL FUND</t>
  </si>
  <si>
    <t>GLENCORE MEDICAL SCHEME</t>
  </si>
  <si>
    <t>GOLDEN ARROWS EMPLOYEES MEDICAL BENEFIT FUND</t>
  </si>
  <si>
    <t>HARMONY MEDICAL SCHEME</t>
  </si>
  <si>
    <t>KEYHEALTH</t>
  </si>
  <si>
    <t>LA-HEALTH MEDICAL SCHEME</t>
  </si>
  <si>
    <t>LIBCARE MEDICAL SCHEME</t>
  </si>
  <si>
    <t>LONMIN MEDICAL SCHEME</t>
  </si>
  <si>
    <t>MAKOTI MEDICAL SCHEME</t>
  </si>
  <si>
    <t>MALCOR MEDICAL SCHEME</t>
  </si>
  <si>
    <t>MEDIMED MEDICAL SCHEME</t>
  </si>
  <si>
    <t>NASPERS MEDICAL FUND</t>
  </si>
  <si>
    <t>NEDGROUP MEDICAL AID</t>
  </si>
  <si>
    <t>PICK N PAY MEDICAL SCHEME</t>
  </si>
  <si>
    <t>RAF (ROAD ACCIDENT FUND)</t>
  </si>
  <si>
    <t>RAF (SUNSHINE HOSPITAL)</t>
  </si>
  <si>
    <t>RAND WATER MEDICAL SCHEME</t>
  </si>
  <si>
    <t>REMEDI MEDICAL AID</t>
  </si>
  <si>
    <t>RETAIL MEDICAL SCHEME</t>
  </si>
  <si>
    <t>RMA (RAND MUTUAL ASSURANCE)</t>
  </si>
  <si>
    <t>SA BREWERIES MEDICAL SCHEME</t>
  </si>
  <si>
    <t>SANDF (SOUTH AFRICAN NATIONAL DEFENCE FORCE)</t>
  </si>
  <si>
    <t>SAPS IOD (SOUTH AFRICAN POLICE SERVICES INJURY ON DUTY)</t>
  </si>
  <si>
    <t>SELFMED MEDICAL SCHEME</t>
  </si>
  <si>
    <t>TOPMED MEDICAL SCHEME</t>
  </si>
  <si>
    <t>TSOGO SUN MEDICAL SCHEME</t>
  </si>
  <si>
    <t>UMVUZO HEALTH MEDICAL SCHEME</t>
  </si>
  <si>
    <t>WOOLTRU HEALTHCARE FUND</t>
  </si>
  <si>
    <t>WORLD HEALTH ORGANISATION (WHO) MEDICAL SCHEME</t>
  </si>
  <si>
    <t>Buttock, left</t>
  </si>
  <si>
    <t>Buttock, right</t>
  </si>
  <si>
    <t>BUILDING INDUSTRY MEDICAL AID FUNDERS (BIMAF)</t>
  </si>
  <si>
    <t>FOREIGN PATIENT ASSISTANCE</t>
  </si>
  <si>
    <t>NAMIBIA HEALTH PLAN</t>
  </si>
  <si>
    <t>OTHER MEDICAL AID</t>
  </si>
  <si>
    <t>RENAISSANCE HEALTH NAMIBIA</t>
  </si>
  <si>
    <t>RHODES UNIVERSITY MEDICAL SCHEME (RU MED)</t>
  </si>
  <si>
    <t>UNIVERSITY OF WITWATERSRAND MEDICAL SCHEME</t>
  </si>
  <si>
    <t>Please Note:  When this is a PRIVATE patient, please  choose "PRIVATE SALES" as Medical Aid and insert the Patient ID Number in the Medical Aid No field.</t>
  </si>
  <si>
    <t>MedicalFundID</t>
  </si>
  <si>
    <t>MedicalAccountName</t>
  </si>
  <si>
    <t>IsActive</t>
  </si>
  <si>
    <t>D7880B7D-7E85-4679-AFEE-00EFF9F0C5BA</t>
  </si>
  <si>
    <t>ONEPLAN MEDICAL INSURANCE</t>
  </si>
  <si>
    <t>8559926E-9355-47CE-87E6-03944240513E</t>
  </si>
  <si>
    <t>A64CE444-F640-4220-9200-0399C520E470</t>
  </si>
  <si>
    <t>MSO INTERNATIONAL</t>
  </si>
  <si>
    <t>ECB1CCDA-5E60-40BC-8611-042179E25CE3</t>
  </si>
  <si>
    <t>A555D61B-01EE-44BD-A3C0-057517859158</t>
  </si>
  <si>
    <t>HEALTH4ME</t>
  </si>
  <si>
    <t>B08816C8-AD74-44E5-8846-05CCC432DCC7</t>
  </si>
  <si>
    <t>NBCRFLI WELLNESS FUND HEALTH PLAN</t>
  </si>
  <si>
    <t>9913C30B-E875-47CE-A808-06187E6A46CB</t>
  </si>
  <si>
    <t>49CC70B9-50A7-460A-B530-066D0231AE01</t>
  </si>
  <si>
    <t>539AFAA8-45F0-42F3-B4C5-07E1576911FE</t>
  </si>
  <si>
    <t>E4E323E0-682D-4722-A4BD-07F980B6D5C9</t>
  </si>
  <si>
    <t>PG GROUP MEDICAL SCHEME</t>
  </si>
  <si>
    <t>D87ACA56-7191-41FF-A7C9-0A2357AF5808</t>
  </si>
  <si>
    <t>C0492195-D4D8-4789-839A-0A49B95D36AE</t>
  </si>
  <si>
    <t>2E300CF8-DEF4-436D-AA47-0A8E2DEDF1EB</t>
  </si>
  <si>
    <t>DF5667E6-4325-4F47-AD4D-0C1F09A9AC0E</t>
  </si>
  <si>
    <t>AFRISAM MEDICAL SCHEME</t>
  </si>
  <si>
    <t>F4617E6D-D161-44CE-9AF2-0C884E4C5560</t>
  </si>
  <si>
    <t>48EA9CAB-9AC1-499D-93F5-0D914048C6AC</t>
  </si>
  <si>
    <t>EC6318CB-C6E1-459F-97AD-0D9A3C964393</t>
  </si>
  <si>
    <t>7991403B-5B88-4D80-AEBA-0DDA0460557E</t>
  </si>
  <si>
    <t>A8C55D68-F6E6-4512-BA6E-0DE578B0C27A</t>
  </si>
  <si>
    <t>D25E1634-0088-4E5B-86D9-11569F0020D3</t>
  </si>
  <si>
    <t>D5DABEE2-DC53-4099-BE0F-11CBE74C2CAB</t>
  </si>
  <si>
    <t>4338AD34-540B-4D51-B495-12323D060F38</t>
  </si>
  <si>
    <t>C94944B2-F507-476B-907E-16D007C5ABFD</t>
  </si>
  <si>
    <t>HARMONY HEALTH SERVICES</t>
  </si>
  <si>
    <t>CE4367BF-E848-4608-899C-18834FA22F68</t>
  </si>
  <si>
    <t>FURNMED</t>
  </si>
  <si>
    <t>1BFB876E-8B3B-4DA2-BF0B-1A0A49721FF1</t>
  </si>
  <si>
    <t>67B918B3-416D-48D3-922C-1CDCBF58464E</t>
  </si>
  <si>
    <t>ROSHMED HOSPITAL SCHEME</t>
  </si>
  <si>
    <t>A50EE53C-88B9-466E-845E-1CDE89B16DB2</t>
  </si>
  <si>
    <t>DEBTTECH</t>
  </si>
  <si>
    <t>E7B7993B-3F85-4C9E-833E-1D614D6DC8D2</t>
  </si>
  <si>
    <t>ANGLOVAAL GROUP MEDICAL SCHEME</t>
  </si>
  <si>
    <t>D086DA0B-FBBC-44D1-AF7C-1E15A3B67B17</t>
  </si>
  <si>
    <t>COMPSOL (IOD CLAIMS)</t>
  </si>
  <si>
    <t>7D9A7F1A-06B7-47F1-A7FD-1EBAF6A1B094</t>
  </si>
  <si>
    <t>878779AC-3206-4306-843A-1F1DA005F8EF</t>
  </si>
  <si>
    <t>SEDMED MEDICAL SCHEME</t>
  </si>
  <si>
    <t>164A8AD5-C12B-43FA-B4F2-1F24FE84063C</t>
  </si>
  <si>
    <t>6233CB6F-84FE-4040-BE40-1F37EB3B830A</t>
  </si>
  <si>
    <t>41543ED1-260E-4A98-A954-20A9D6A56F19</t>
  </si>
  <si>
    <t>REGULAR FORCE MEDICAL CONTINUATION FUND (RFMCF)</t>
  </si>
  <si>
    <t>CA0AFFB8-1C25-427B-8270-2237DD66766B</t>
  </si>
  <si>
    <t>PROTEKTA</t>
  </si>
  <si>
    <t>D734BEDD-F3A0-47B1-81FF-245DBDC9054C</t>
  </si>
  <si>
    <t>HOSMED MEDICAL AID SCHEME</t>
  </si>
  <si>
    <t>1A3D5FBB-5228-4EB8-A4EF-25174F595741</t>
  </si>
  <si>
    <t>PPN AECI</t>
  </si>
  <si>
    <t>C5175E85-55FF-41E2-BED7-252FE25F8AB3</t>
  </si>
  <si>
    <t>5F2B776C-9F14-419B-95E9-26A137DA4F56</t>
  </si>
  <si>
    <t>528C28B1-2417-46FD-A3E4-2BC669162E26</t>
  </si>
  <si>
    <t>AC4B67B2-C453-436C-A963-2D24B00E6892</t>
  </si>
  <si>
    <t>32CF35CB-2E86-4272-ABF3-2D9DAD0E41D9</t>
  </si>
  <si>
    <t>9BACCF51-F0B2-4D30-AD15-2E98E4F81314</t>
  </si>
  <si>
    <t>EBE788D4-A6B8-4888-A3F8-2EE4A1DC789D</t>
  </si>
  <si>
    <t>4F733846-2772-4CA1-B328-315850529565</t>
  </si>
  <si>
    <t>4E9755B8-5D25-4198-ABCD-318CA039C986</t>
  </si>
  <si>
    <t>IMPROVED CLINICAL PATHWAY SERVICES</t>
  </si>
  <si>
    <t>79D11FEB-D740-4325-A7A7-32DAB5CD9B19</t>
  </si>
  <si>
    <t>ANGLO GOLD ASHANTI EMPLYEES SCHEME</t>
  </si>
  <si>
    <t>DECEDD84-3ADA-464F-B80D-33B5713E3378</t>
  </si>
  <si>
    <t>PULAMED</t>
  </si>
  <si>
    <t>E51AFA1A-4E97-4FA5-8C60-33CC72ACF63C</t>
  </si>
  <si>
    <t>GOMOMO ECIPA</t>
  </si>
  <si>
    <t>5E7A1D40-52E5-406D-84A4-354E9621231F</t>
  </si>
  <si>
    <t>A2546D36-CC46-4AF4-8EE5-35E1DD5F38E5</t>
  </si>
  <si>
    <t>AFFINITY HEALTH</t>
  </si>
  <si>
    <t>FF2F1776-20FD-401B-8E5A-3699B8FDB16A</t>
  </si>
  <si>
    <t>GETSAVVI</t>
  </si>
  <si>
    <t>E4E837B0-01D6-4911-9FA7-3713BBF0DAE3</t>
  </si>
  <si>
    <t>C96C0DF5-F214-42B2-B878-3820828D66EC</t>
  </si>
  <si>
    <t>WITBANK COALFIELDS MEDICAL AID SCHEME MIDMAS OPTION</t>
  </si>
  <si>
    <t>2D1BFF93-7A2C-41ED-B3DF-38D827C29E33</t>
  </si>
  <si>
    <t>DDFBA001-8C55-45E4-BF63-3E47A8573AC6</t>
  </si>
  <si>
    <t>SIBANYE GOLD</t>
  </si>
  <si>
    <t>55809A96-F88A-45BE-9B85-3FC7D76BF890</t>
  </si>
  <si>
    <t>376506BD-F842-4400-9CE6-416FF39D286E</t>
  </si>
  <si>
    <t>BF5D9267-0F0F-4472-AA6E-420B117134E5</t>
  </si>
  <si>
    <t>SAPS WELLNESS</t>
  </si>
  <si>
    <t>A8F4449D-3ED5-4914-81B7-427DA1F90DB9</t>
  </si>
  <si>
    <t>RETAIL MEAT TRADE</t>
  </si>
  <si>
    <t>5435242A-856A-4265-B8E5-435FD72D1793</t>
  </si>
  <si>
    <t>16A2B525-1CA3-4500-8B6F-43ADDFE45A3B</t>
  </si>
  <si>
    <t>BUILDING INDUSTRIES P.E.</t>
  </si>
  <si>
    <t>4709889B-A19D-4D09-A5A3-448A593F52A4</t>
  </si>
  <si>
    <t>PROSPRITY LIFE</t>
  </si>
  <si>
    <t>CD5A1F8F-2412-4B76-9C9F-449A9BECFF12</t>
  </si>
  <si>
    <t>ED77BCBA-14A8-4C05-98A0-45A37F48B4BF</t>
  </si>
  <si>
    <t>1C71E850-6706-4D77-A7E9-476C6F04D3A6</t>
  </si>
  <si>
    <t>0D08E910-639A-48EA-9A3F-49657781D696</t>
  </si>
  <si>
    <t>5473BA7F-E565-4E7E-B300-4A1C5FB4FF2A</t>
  </si>
  <si>
    <t>MASCA ZIMBABWE</t>
  </si>
  <si>
    <t>EE4C55BE-68CE-4F11-93B2-4BC70B46A454</t>
  </si>
  <si>
    <t>UNITY HEALTH</t>
  </si>
  <si>
    <t>08C3263E-65E4-4CD2-B56C-4C0B6619C01F</t>
  </si>
  <si>
    <t>AFRICAN UNITY HEALTH</t>
  </si>
  <si>
    <t>9C66C96F-462D-48C3-9A97-4EC433213AA4</t>
  </si>
  <si>
    <t>AFRICAN AND WORLDWIDE MEDICAL ASSISTANCE SERVICES (PTY) LTD</t>
  </si>
  <si>
    <t>9A18B414-0CCE-48A0-B918-5284C99DF766</t>
  </si>
  <si>
    <t>892D0C25-2F3A-4834-A0B1-57B9C050AB1A</t>
  </si>
  <si>
    <t>8DA77472-8502-49A5-9D5F-586BCD498671</t>
  </si>
  <si>
    <t>FIDELITY LIFE MEDICAL AID SOCIETY (FLIMAS)</t>
  </si>
  <si>
    <t>E4477647-EA2E-4849-9747-59E7E8C59975</t>
  </si>
  <si>
    <t>59FDEAD5-31DA-4285-AE04-5B3BA857D7D3</t>
  </si>
  <si>
    <t>1427B839-AC7C-463A-A244-5F2DA707258A</t>
  </si>
  <si>
    <t>GOVERNMENT EMPLOYEES MEDICAL SCHEME (EMERALD)</t>
  </si>
  <si>
    <t>DCB077F7-9A2B-4B7E-AAC5-5F42758AEF5C</t>
  </si>
  <si>
    <t>GOVERNMENT EMPLOYEES MEDICAL SCHEME (OTHER)</t>
  </si>
  <si>
    <t>08459BE5-1104-4086-ACDC-5FE0F03B2361</t>
  </si>
  <si>
    <t>PRIME CURE</t>
  </si>
  <si>
    <t>A9B0BBF2-C778-4262-8E98-6299C6B4C239</t>
  </si>
  <si>
    <t>NUFAWSA SICK BENEFIT SOCIETY</t>
  </si>
  <si>
    <t>EF57E602-17DB-4DBF-85CA-64388F4FFDC5</t>
  </si>
  <si>
    <t>AECI (VALUE OPTION)</t>
  </si>
  <si>
    <t>1D94CC54-4956-4997-B43F-65B447400849</t>
  </si>
  <si>
    <t>1EAE27F7-3922-45DC-B78A-6660372F2C0E</t>
  </si>
  <si>
    <t>TRANSMED MEDICAL FUND</t>
  </si>
  <si>
    <t>B5459DE8-F78D-41BA-8D79-6B205BC468A0</t>
  </si>
  <si>
    <t>ASTERIO MEDICAL INSURANCE</t>
  </si>
  <si>
    <t>AC2806E9-ACA2-4CAC-B4D2-6C52F2D4D1AB</t>
  </si>
  <si>
    <t>SUREMED HEALTH</t>
  </si>
  <si>
    <t>64A699BE-B890-4F0A-88DE-6C8836C7D45A</t>
  </si>
  <si>
    <t>PPN CARECROSS</t>
  </si>
  <si>
    <t>EBFA0868-4B6D-4390-8D16-6D5094F5393F</t>
  </si>
  <si>
    <t>MEDSTART MEDICAL SCHEME</t>
  </si>
  <si>
    <t>887C4D68-B766-461D-806A-6FEF57A65D57</t>
  </si>
  <si>
    <t>1BA34F05-6B54-469C-91AF-702D0C0DC2A4</t>
  </si>
  <si>
    <t>64F95045-3E4A-4599-A81A-71A7167CD97D</t>
  </si>
  <si>
    <t>26EE899C-24BD-4AD4-B947-763C6AE5D5DB</t>
  </si>
  <si>
    <t>5FFB5802-F4A3-4590-9C22-7686EF00ED0A</t>
  </si>
  <si>
    <t>2F107BC5-0815-4912-9AC0-79112D5C7BAE</t>
  </si>
  <si>
    <t>ESSENTIAL EMPLOYEE BENEFITS (EEBS)</t>
  </si>
  <si>
    <t>4B406A6D-8C91-41B8-B8D6-7B84CA2D88B6</t>
  </si>
  <si>
    <t>24DDDE27-859A-4491-923E-7D9666D9FC10</t>
  </si>
  <si>
    <t>CAREWORKS</t>
  </si>
  <si>
    <t>D19965AC-B157-413D-A94E-7E23C31DAA98</t>
  </si>
  <si>
    <t>GOVERNMENT EMPLOYEES MEDICAL SCHEME (SAPPHIRE)</t>
  </si>
  <si>
    <t>82B87940-16A7-4E50-80BC-80BDED2F48BF</t>
  </si>
  <si>
    <t>D679D6C4-CEAB-439C-998D-8246F559EC05</t>
  </si>
  <si>
    <t>8B56B81F-11D1-4FD0-894C-82565BA0132C</t>
  </si>
  <si>
    <t>385DB608-A64C-4FA5-9BA1-82CB72088F22</t>
  </si>
  <si>
    <t>C93FD361-75A1-4809-98EE-8575C8DC2052</t>
  </si>
  <si>
    <t>UMVUZO HEALTH STANDARD AND ULTRA OPTION</t>
  </si>
  <si>
    <t>F06556EA-06D1-4710-99DD-88164FB017AC</t>
  </si>
  <si>
    <t>WESMART MEDICAL SCHEME</t>
  </si>
  <si>
    <t>39A9EA54-DF49-41A9-8280-8821938F73C3</t>
  </si>
  <si>
    <t>950D01D0-5FDE-4C21-895D-89826418434B</t>
  </si>
  <si>
    <t>CENTRE FOR DIABETES AND ENDOCRINOLOGY (CDE)</t>
  </si>
  <si>
    <t>9CEB7A0C-1D1C-4177-83F4-8A0BE6DF87AE</t>
  </si>
  <si>
    <t>FOSCHINI GROUP MEDICAL SCHEME</t>
  </si>
  <si>
    <t>E027508F-3695-4C7D-BAAC-8B90E4764090</t>
  </si>
  <si>
    <t>C0EC415C-2BD3-4AF1-8ACF-8BC663CF0C8C</t>
  </si>
  <si>
    <t>QUANTUM MEDICAL AID SOCIETY</t>
  </si>
  <si>
    <t>025AFB64-BF8D-4CE9-8AB2-8C2987A730FA</t>
  </si>
  <si>
    <t>7EA795F5-506A-4B8C-AF8E-8E67C2618C7D</t>
  </si>
  <si>
    <t>VAAL MAIN REEF MINE</t>
  </si>
  <si>
    <t>C0B304C2-0634-451D-A448-8F5563A077C1</t>
  </si>
  <si>
    <t>47D11219-E87D-4225-8224-901167806189</t>
  </si>
  <si>
    <t>CB47B7A1-F5DE-4A07-BB10-92B7C77BEF41</t>
  </si>
  <si>
    <t>PPN POLMED</t>
  </si>
  <si>
    <t>DB9B3F93-1935-4F0A-8347-95678D65CEEB</t>
  </si>
  <si>
    <t>PPN MEDIMED</t>
  </si>
  <si>
    <t>AB41C3C5-351C-4652-BFE5-957E5366D7BB</t>
  </si>
  <si>
    <t>E5B449B9-49F6-4AE5-9904-9683600EF507</t>
  </si>
  <si>
    <t>UNIVERSAL HEALTH AND ACCIDENT PLAN</t>
  </si>
  <si>
    <t>6E48F37E-2AC9-41BE-85FF-96E44D639119</t>
  </si>
  <si>
    <t>C17DF520-98BD-4F8B-9216-96F74E89F216</t>
  </si>
  <si>
    <t>HERITAGE HEALTH MEDICAL AID FUND</t>
  </si>
  <si>
    <t>BE22F1CA-2A05-46F5-8ED4-97C5DEA1E52F</t>
  </si>
  <si>
    <t>BOTSWANA PUBLIC OFFICERS MED AID SCHEME (BPOMAS)</t>
  </si>
  <si>
    <t>39A8D579-930C-46D8-9820-98AFEF78C581</t>
  </si>
  <si>
    <t>WITBANK COALFIELDS MEDICAL AID SCHEME</t>
  </si>
  <si>
    <t>C3847249-4A0F-417E-847D-9B78C5955253</t>
  </si>
  <si>
    <t>FEDHEALTH MEDICAL SCHEME (OTHER)</t>
  </si>
  <si>
    <t>6203095D-C274-4EA4-A851-9C00637B8864</t>
  </si>
  <si>
    <t>FA89681B-7C06-41E2-B02C-9C3E18E29C6A</t>
  </si>
  <si>
    <t>MMED OPTION OF THE NASPERS MEDICAL FUND</t>
  </si>
  <si>
    <t>92827B1D-D45C-495F-A74F-9C59DEAFC558</t>
  </si>
  <si>
    <t>04C3C8E1-FC3D-4FD3-B861-9DD4FBF01D28</t>
  </si>
  <si>
    <t>UNITED GENERAL INSURANCE (SWAZILAND)</t>
  </si>
  <si>
    <t>4BC1A794-2922-40C6-9C2D-A1693769D722</t>
  </si>
  <si>
    <t>C51EA692-C37F-4E0C-BB88-A23F084504CC</t>
  </si>
  <si>
    <t>MOMENTUM HEALTH AFRICA</t>
  </si>
  <si>
    <t>740978A0-E0FF-4A18-B027-A45F2879D9A6</t>
  </si>
  <si>
    <t>FF15F8AC-F1FF-4AB0-B905-A5FA58767AA9</t>
  </si>
  <si>
    <t>WITBANK COALFIELDS MEDICAL AID SCHEME NTSIKA OPTION</t>
  </si>
  <si>
    <t>E810BD3E-14F3-421D-AE41-A722B1C9DC97</t>
  </si>
  <si>
    <t>UDIPA MED AID</t>
  </si>
  <si>
    <t>6B388A40-8C74-4D71-9B8A-A74A1B91A184</t>
  </si>
  <si>
    <t>D8E68688-E13D-46B6-BEE8-A8A0EB703C68</t>
  </si>
  <si>
    <t>IMPILO CARE OPTION</t>
  </si>
  <si>
    <t>00B4937C-ABD7-49B0-A61F-A95751C3840F</t>
  </si>
  <si>
    <t>COMPENSATION FUND (IOD)</t>
  </si>
  <si>
    <t>018CE22C-973F-41D0-BDDC-A982719AB660</t>
  </si>
  <si>
    <t>F151A831-2650-4618-8AD8-A99BC7B6E12F</t>
  </si>
  <si>
    <t>75A9303A-8C02-4695-B1E5-A9A7AC3ECC75</t>
  </si>
  <si>
    <t>WITBANK COALFIELDS MEDICAL AID SCHEME YEBO MED OPTION</t>
  </si>
  <si>
    <t>D86141AC-F929-4BB6-8D47-AA2F811CBF25</t>
  </si>
  <si>
    <t>C07C3751-6E41-4EBA-8C9B-AA32C64E5DFC</t>
  </si>
  <si>
    <t>GOVERNMENT EMPLOYEES MEDICAL SCHEME (RUBY)</t>
  </si>
  <si>
    <t>DEB724B0-7D50-429D-8BE4-AB7C1DCFCF38</t>
  </si>
  <si>
    <t>NAMIBIA IND MEDICAL AID</t>
  </si>
  <si>
    <t>8E3D0FDD-1D87-4BCB-A014-AC93E99CA691</t>
  </si>
  <si>
    <t>1 DOCTOR HEALTH</t>
  </si>
  <si>
    <t>1EE51145-C90E-4707-BB66-AE85B773CF1F</t>
  </si>
  <si>
    <t>8CECE42C-5606-4384-84BC-AF4A392A0DC4</t>
  </si>
  <si>
    <t>CARECROSS</t>
  </si>
  <si>
    <t>4EECFD0B-AA82-4341-9FE1-B085008A9194</t>
  </si>
  <si>
    <t>5C1231FD-DB34-4FFD-951C-B1ED42FD7FF7</t>
  </si>
  <si>
    <t>POLMED (IOD CLAIMS)</t>
  </si>
  <si>
    <t>B960F7E9-D94E-449A-A56B-B4057E194A1E</t>
  </si>
  <si>
    <t>260FA2A9-A1A2-47B9-B2B3-B69F4C3DC648</t>
  </si>
  <si>
    <t>RENAISSANCE HEALTH MEDICAL AID FUND</t>
  </si>
  <si>
    <t>50D4EF6F-DB4C-4E59-8D86-B70D5752C63E</t>
  </si>
  <si>
    <t>A0368BAF-1DE0-41BE-A24F-B728F99BB1E9</t>
  </si>
  <si>
    <t>3E89EB64-BFC5-46EF-9548-B7A0007CACC8</t>
  </si>
  <si>
    <t>75D78D05-E37D-48D7-BD55-BB924FBD2C8D</t>
  </si>
  <si>
    <t>MAMOTH HEALTH PLAN</t>
  </si>
  <si>
    <t>CD5F31CD-3144-47D1-8B3C-BC8138248095</t>
  </si>
  <si>
    <t>TRANSMED STATE PLUS NETWORK OPTION</t>
  </si>
  <si>
    <t>9D8327E6-6E13-44AC-A7B5-BC85DBD7C068</t>
  </si>
  <si>
    <t>BONITAS MEDICAL FUND (BONCAP)</t>
  </si>
  <si>
    <t>D5C6E399-2903-47CC-87C9-BDA246DD2AFA</t>
  </si>
  <si>
    <t>NATIONAL HEALTH GROUP</t>
  </si>
  <si>
    <t>7F668A56-B300-414A-8279-C1B81A4B6FB0</t>
  </si>
  <si>
    <t>342E76F5-0DD4-4722-BCC4-C27B0EB4FAD5</t>
  </si>
  <si>
    <t>28B636B7-FC32-4798-B778-C68C679F1A95</t>
  </si>
  <si>
    <t>SPES BONA</t>
  </si>
  <si>
    <t>328EEC81-0AFD-4125-B7DE-C93146CC1132</t>
  </si>
  <si>
    <t>ESSENTIAL MED</t>
  </si>
  <si>
    <t>31342B5F-E57B-470E-8FE3-C991A4AB5591</t>
  </si>
  <si>
    <t>UNIVERSAL HEALTH WORKERS PLAN</t>
  </si>
  <si>
    <t>7180C229-D19F-44AC-9BE0-CA3A05252F53</t>
  </si>
  <si>
    <t>MEDICALL HEALTH</t>
  </si>
  <si>
    <t>130D7789-CF14-48FE-B1D0-CA6FA5DCFFA2</t>
  </si>
  <si>
    <t>D936B377-CB87-416C-8B3D-CB9DD52A9CA2</t>
  </si>
  <si>
    <t>E32DC6A8-8D4F-4AF9-99CF-CC23135D6DF1</t>
  </si>
  <si>
    <t>UNIVERSITY OF KWAZULU NATAL MEDICAL SCHEME</t>
  </si>
  <si>
    <t>3E6D21BB-DB89-458D-885A-CDB1FCCE5CAC</t>
  </si>
  <si>
    <t>GOVERNMENT EMPLOYEES MEDICAL SCHEME (BERYL)</t>
  </si>
  <si>
    <t>68C6B140-E81F-467C-8CD2-CE4EC086AD28</t>
  </si>
  <si>
    <t>5D81E890-6E15-43FB-8B8B-D43542BA2BFC</t>
  </si>
  <si>
    <t>DENTAL RISK COMPANY</t>
  </si>
  <si>
    <t>6CC029F2-AFCB-49B1-BF81-D663A22CCD84</t>
  </si>
  <si>
    <t>77B71900-C96E-451A-B9E5-D7840993EAE5</t>
  </si>
  <si>
    <t>BONITAS MEDICAL FUND (OTHER)</t>
  </si>
  <si>
    <t>60458FD7-9F47-4137-A623-DC2AED111C21</t>
  </si>
  <si>
    <t>9B0C8A5C-A945-4B49-9293-DCF707289A57</t>
  </si>
  <si>
    <t>90E26140-43D3-4317-9FEB-DE57CAD58B2B</t>
  </si>
  <si>
    <t>AECI (MEDICAL AID SOCIETY)</t>
  </si>
  <si>
    <t>7005F3A6-64FE-4D42-92F2-DF348F44DE11</t>
  </si>
  <si>
    <t>B4237B86-9C04-44FE-854C-E4804DF30987</t>
  </si>
  <si>
    <t>57C375BF-4F35-4342-A10B-E49C637B3C43</t>
  </si>
  <si>
    <t>MOMENTUM HEALTH MEDICAL SCHEME</t>
  </si>
  <si>
    <t>FFC59476-EEEF-4A73-9873-E6C52239AFF8</t>
  </si>
  <si>
    <t>799C5FA6-DDC9-4817-8648-EE4D8DA53AB0</t>
  </si>
  <si>
    <t>7118ABFC-52E4-4BF4-B24C-EF90352E43DA</t>
  </si>
  <si>
    <t>2A887826-7B75-4591-8D09-EFC65684986B</t>
  </si>
  <si>
    <t>D946CDE1-4290-4701-944F-F1D77617B66F</t>
  </si>
  <si>
    <t>GOVERNMENT EMPLOYEES MEDICAL SCHEME (ONYX)</t>
  </si>
  <si>
    <t>C5A02C11-06D3-4BCB-AD37-F39E6D398DE9</t>
  </si>
  <si>
    <t>HAIRDRESSING SICK BENEFIT FUND CAPE TOWN</t>
  </si>
  <si>
    <t>6B9E3338-B2F3-48CF-A45D-F700DC16B0EE</t>
  </si>
  <si>
    <t>DOMESTICARE</t>
  </si>
  <si>
    <t>C747C038-F3F1-4DC6-883E-F77870C59CA6</t>
  </si>
  <si>
    <t>A1B4131E-91E7-49E8-92DC-F7D5B0050A93</t>
  </si>
  <si>
    <t>521D869B-AE70-402C-B53D-F839A50C4B34</t>
  </si>
  <si>
    <t>E8FF3501-6E66-480D-828A-F8EC483CF49C</t>
  </si>
  <si>
    <t>30F3E664-9E20-40DB-81C8-FC0596C6728E</t>
  </si>
  <si>
    <t>0AB6222F-5725-4EFA-A078-FC5ED5B58357</t>
  </si>
  <si>
    <t>DEEP SOUTH GOLD MINE</t>
  </si>
  <si>
    <t>FE893327-0CE4-4C85-B64D-FF26FA950FF6</t>
  </si>
  <si>
    <t>EVANDER GOLD MINE</t>
  </si>
  <si>
    <t>EB36F6DF-BFC5-4447-A5F9-FF7673CF4BCD</t>
  </si>
  <si>
    <t>EMERGING MARKET HEATHCARE</t>
  </si>
  <si>
    <t>752BEBE3-25B0-4B7C-A23A-FF9A64378674</t>
  </si>
  <si>
    <t>TRUCARE</t>
  </si>
  <si>
    <t>ProductCode</t>
  </si>
  <si>
    <t>StockListID</t>
  </si>
  <si>
    <t>OrderSequence</t>
  </si>
  <si>
    <t>31CDB4F8-73A3-4AD0-A4A5-C0BE30955A2B</t>
  </si>
  <si>
    <t>3A37BBA0-C069-4D59-AE88-205D41A13C3C</t>
  </si>
  <si>
    <t>D66F9EDD-8DCA-4A14-9385-77D1652D08F6</t>
  </si>
  <si>
    <t>2934ADC1-6F73-4770-BF55-578FCFBFBCF7</t>
  </si>
  <si>
    <t>A2405F98-B9D8-4E5D-A1FE-AE42A79724D6</t>
  </si>
  <si>
    <t>478BA649-2817-4912-83D9-8FE75034AA00</t>
  </si>
  <si>
    <t>F0F42E5C-6BE2-46BB-A26C-E39AA47C248B</t>
  </si>
  <si>
    <t>CDEE51BC-6272-4CF0-9E49-E6E11B0631CE</t>
  </si>
  <si>
    <t>BE55B202-724E-41E1-AAAF-7B12D343F08F</t>
  </si>
  <si>
    <t>D60CD9C2-4C1C-4EE9-A7BE-0DC3FDB6C69A</t>
  </si>
  <si>
    <t>73E9D82E-BC65-42E8-B27A-F845B1462965</t>
  </si>
  <si>
    <t>9F29E589-69F8-4FC0-9F7C-327966D51565</t>
  </si>
  <si>
    <t>AA17A643-07F0-43CC-9405-536B8BA00D58</t>
  </si>
  <si>
    <t>C44752BD-59D8-4608-B84F-480B77150E21</t>
  </si>
  <si>
    <t>A09877C4-223B-4655-8029-9E0D49DE5FDC</t>
  </si>
  <si>
    <t>871FD8CD-B0D0-412A-BC1C-E4ECB2ACD535</t>
  </si>
  <si>
    <t>C6C0E8EE-BB80-402C-AD44-FF4099C8989E</t>
  </si>
  <si>
    <t>0A086BA7-CA5B-49B9-823F-0A160E1244CB</t>
  </si>
  <si>
    <t>2BFA2C07-22CA-4538-9E67-1F8D75A14939</t>
  </si>
  <si>
    <t>54CB43A8-E204-4154-875C-E2AE459BCBE2</t>
  </si>
  <si>
    <t>B1975E7D-0BF5-4D5B-BB64-2A53D6B4FD21</t>
  </si>
  <si>
    <t>1D3B60E9-2005-4499-A9DD-E3329FCE5C32</t>
  </si>
  <si>
    <t>31939FFC-1B23-47B0-97C5-929FA5E82A76</t>
  </si>
  <si>
    <t>4B923886-6391-4FD9-97D5-26B11D0A1A98</t>
  </si>
  <si>
    <t>F257B93D-3C30-4DBF-9689-C6FFC858F244</t>
  </si>
  <si>
    <t>842B7762-6507-4703-AE23-E1EAF4BD673B</t>
  </si>
  <si>
    <t>FDBAF86E-C029-4068-A55E-22C831C74D9E</t>
  </si>
  <si>
    <t>08E49334-AB5E-4C97-9E63-F9BBCC986649</t>
  </si>
  <si>
    <t>50BD9300-621C-45A9-8412-8679A7DFA56C</t>
  </si>
  <si>
    <t>8895C5B1-CFF0-47B3-9BBC-982808513B13</t>
  </si>
  <si>
    <t>D9C671BD-C615-45E9-BEE3-3C3F0F7AC5CE</t>
  </si>
  <si>
    <t>29D4D62B-D58C-44CF-8008-48EEC7EDD24A</t>
  </si>
  <si>
    <t>838C67E1-395E-4EA4-B9D5-60DBC5F46374</t>
  </si>
  <si>
    <t>5AE1CE30-AADA-4266-B430-D51E21645D63</t>
  </si>
  <si>
    <t>3D33F226-AD12-410B-A0EA-EBD216DB6D28</t>
  </si>
  <si>
    <t>AFB03003-3C0E-4A6D-9A11-62C7AC4FC0D3</t>
  </si>
  <si>
    <t>508DF701-7310-40E0-82FE-3FBBED0B6FF7</t>
  </si>
  <si>
    <t>EDD8D8AB-16B0-46A0-B3D3-ACF43104C7E6</t>
  </si>
  <si>
    <t>829B8632-14EC-44EA-8EA7-38BE4DCBA284</t>
  </si>
  <si>
    <t>3939266A-E821-4791-B501-4B9824D43BC2</t>
  </si>
  <si>
    <t>49A8D7B3-2782-4016-8F6E-06925DFF4886</t>
  </si>
  <si>
    <t>511EF0C4-8ECB-4F49-BC8E-C05C13E4DE58</t>
  </si>
  <si>
    <t>9A80E69F-F225-49AB-8A1C-557594EA1ABD</t>
  </si>
  <si>
    <t>EFD7BF68-4A3D-4ABB-9DAA-9C3487E9DDBE</t>
  </si>
  <si>
    <t>4EE325D9-8078-45A3-97EF-7CE7FA3706EB</t>
  </si>
  <si>
    <t>ECF8B487-3845-43EE-B536-31B16EDF2449</t>
  </si>
  <si>
    <t>DB92BBC1-C9E9-41AE-BADF-1543352A00DD</t>
  </si>
  <si>
    <t>BC301AB8-7B38-4884-9C84-820ACED9A10E</t>
  </si>
  <si>
    <t>A9794993-F09F-4D5C-BE78-C924043DB139</t>
  </si>
  <si>
    <t>CBF1E769-FEFA-4B7C-A143-C394AD29A633</t>
  </si>
  <si>
    <t>D56FC309-422E-491C-81B2-B3468A5C100D</t>
  </si>
  <si>
    <t>BC13DF18-98AD-4813-A07C-900E4EBA5514</t>
  </si>
  <si>
    <t>BDE3DB64-8F77-440B-AAAB-0DC514C9FD4C</t>
  </si>
  <si>
    <t>3DCC5F04-2652-4910-B3B8-CE1A43C05942</t>
  </si>
  <si>
    <t>8DFB5599-AE76-4699-9724-1AE2FF88D135</t>
  </si>
  <si>
    <t>F9CB95AC-D4F4-4B58-837A-83C447AD6F8F</t>
  </si>
  <si>
    <t>3CDB23DD-D63C-4AB6-A7BB-06EB70957826</t>
  </si>
  <si>
    <t>E87DD85A-1CD2-4CC4-B327-ED9FC2B2E34C</t>
  </si>
  <si>
    <t>C33FB31A-FB98-4FDE-B4A4-4176D40CB60D</t>
  </si>
  <si>
    <t>E0EB1873-7893-4435-BBEC-B0D7D511475E</t>
  </si>
  <si>
    <t>E8453469-83E6-4178-B938-5D00DA30EB51</t>
  </si>
  <si>
    <t>E790F35B-ED9A-4655-A80F-790C944DCFD4</t>
  </si>
  <si>
    <t>55E8D311-2D9E-4D9E-952D-82491A45FE21</t>
  </si>
  <si>
    <t>C54E1F49-03B2-4C48-9F2D-0D68BAE11A44</t>
  </si>
  <si>
    <t>23B04182-C239-4C8B-B2FE-B2359AED9736</t>
  </si>
  <si>
    <t>2B78CBA2-0E91-4F47-97C0-63D38C12070E</t>
  </si>
  <si>
    <t>V.A.C. ULTA INSTILLATION VERAFLO CLEANSE CHOICE LARGE</t>
  </si>
  <si>
    <t>ULTVCC05LG</t>
  </si>
  <si>
    <t>8827FD82-FB74-4C82-A23B-6F2F32716162</t>
  </si>
  <si>
    <t>KerraMax 10x10</t>
  </si>
  <si>
    <t>PRD500-050</t>
  </si>
  <si>
    <t>021310EF-05EE-43BC-9B2A-6A2CF3E82827</t>
  </si>
  <si>
    <t>KerraMax 10x22</t>
  </si>
  <si>
    <t>PRD500-120</t>
  </si>
  <si>
    <t>CE96CCD0-59D9-4863-894F-3DFF1872062E</t>
  </si>
  <si>
    <t>KerraMax Multisite</t>
  </si>
  <si>
    <t>PRD500-300</t>
  </si>
  <si>
    <t>880DD666-905B-414F-9761-23C52545FC26</t>
  </si>
  <si>
    <t>KerraMax 20x30</t>
  </si>
  <si>
    <t>PRD500-380</t>
  </si>
  <si>
    <t>54057F94-D137-4488-8EE2-E27E216A9A87</t>
  </si>
  <si>
    <t>KerraMax 20 x 50</t>
  </si>
  <si>
    <t>PRD500-600</t>
  </si>
  <si>
    <t>0FB7A3FD-1FF8-4C07-9C1A-C4D618CD03BD</t>
  </si>
  <si>
    <t>Kerramax Care Border 16 x 16cm</t>
  </si>
  <si>
    <t>CWL1000</t>
  </si>
  <si>
    <t>773FF66A-99A3-4CC2-9967-2DB8D02C6AD8</t>
  </si>
  <si>
    <t>Kerramax Care Border 16 x 26cm</t>
  </si>
  <si>
    <t>CWL1001</t>
  </si>
  <si>
    <t>9A3D242A-AE3F-48D6-A4B3-50FF7731FC50</t>
  </si>
  <si>
    <t>Kerramax Care Border 26 x 26cm</t>
  </si>
  <si>
    <t>CWL1002</t>
  </si>
  <si>
    <t>6A912592-BC5F-4B20-884A-E61CC986D0C1</t>
  </si>
  <si>
    <t>KerraFoam GB Sacrum</t>
  </si>
  <si>
    <t>CWL1023</t>
  </si>
  <si>
    <t>798CEB64-508C-4384-B52C-09CECF2B0602</t>
  </si>
  <si>
    <t>KerraFoam GB Heel</t>
  </si>
  <si>
    <t>CWL1024</t>
  </si>
  <si>
    <t>02798365-7723-40D9-B6C3-E57BB63F08C7</t>
  </si>
  <si>
    <t>KerraFoam GB Large Sacrum</t>
  </si>
  <si>
    <t>CWL1040</t>
  </si>
  <si>
    <t>9488D5C6-4EF1-4477-8CE4-E6E383D65B0E</t>
  </si>
  <si>
    <t>KerraCel 5 x 5 cm (2" x 2")</t>
  </si>
  <si>
    <t>CWL1032</t>
  </si>
  <si>
    <t>E69CB6BF-579A-4B0B-95C7-44D42D9B6D91</t>
  </si>
  <si>
    <t>KerraCel 15 x 15 cm (6" x 6")</t>
  </si>
  <si>
    <t>CWL1034</t>
  </si>
  <si>
    <t>4B0D99F2-4D29-4392-A6B3-757C1DCBA2D3</t>
  </si>
  <si>
    <t>KerraCel 2.5 x 45 cm (1" x 18")</t>
  </si>
  <si>
    <t>CWL1035</t>
  </si>
  <si>
    <t>0A281D47-E24C-4E5B-817D-FCAC363804BB</t>
  </si>
  <si>
    <t>KerraCel 10 x 10 cm (4" x 4")</t>
  </si>
  <si>
    <t>CWL1166</t>
  </si>
  <si>
    <t>3C9A1F42-DCD9-4F73-B4E0-65CA89E320E7</t>
  </si>
  <si>
    <t>KerraLite 6 x 6 non adhesive</t>
  </si>
  <si>
    <t>CWL1004</t>
  </si>
  <si>
    <t>25C8447E-666C-4F54-B8A5-12E34931F08D</t>
  </si>
  <si>
    <t>KerraLite 12 x 8.5 non adhesive</t>
  </si>
  <si>
    <t>CWL1005</t>
  </si>
  <si>
    <t>69CA6227-9C08-4C48-B8B0-EF20B65A4448</t>
  </si>
  <si>
    <t>KerraLite 18 x 12.5 non adhesive</t>
  </si>
  <si>
    <t>CWL1006</t>
  </si>
  <si>
    <t>77CE7DEB-1BDB-4324-A397-12228AB25DDC</t>
  </si>
  <si>
    <t>KerraLite 8 x 8 bordered</t>
  </si>
  <si>
    <t>CWL1007</t>
  </si>
  <si>
    <t>2D3EDAAB-4942-4460-8ACD-C8B434F2F1E5</t>
  </si>
  <si>
    <t>KerraLite 11 x 11 bordered</t>
  </si>
  <si>
    <t>CWL1008</t>
  </si>
  <si>
    <t>831DB611-84F5-47D4-8787-6335180DC4DB</t>
  </si>
  <si>
    <t>KerraLite 15 x 15 bordered</t>
  </si>
  <si>
    <t>CWL1009</t>
  </si>
  <si>
    <t>8D510104-F101-4E7F-B802-790843696645</t>
  </si>
  <si>
    <t>KerraContact Ag 10 x 12.5cm</t>
  </si>
  <si>
    <t>PN-09-0103</t>
  </si>
  <si>
    <t>FCCA3751-D399-4A18-B92D-3D2D0B3402E9</t>
  </si>
  <si>
    <t>KerraContact Ag 15 x 15cm</t>
  </si>
  <si>
    <t>PN-09-0105</t>
  </si>
  <si>
    <t>A707F6FA-9798-4E73-9026-85E90108400D</t>
  </si>
  <si>
    <t>KerraContact Ag 20 x 40cm</t>
  </si>
  <si>
    <t>PN-09-0108</t>
  </si>
  <si>
    <t>7AB3BBCE-274C-4AD7-B3A8-BAE05835520C</t>
  </si>
  <si>
    <t>KerraContact Ag 40 x 40cm</t>
  </si>
  <si>
    <t>PN-09-0116</t>
  </si>
  <si>
    <t>86C482FC-E367-4786-9F65-EBB75C83FFEB</t>
  </si>
  <si>
    <t>KerraContact Ag 10 x 120cm</t>
  </si>
  <si>
    <t>PN-09-0120</t>
  </si>
  <si>
    <t>AD49F507-9A0E-43E8-A28C-82C75A6ED57F</t>
  </si>
  <si>
    <t>KerraContact Ag 40 x 80cm</t>
  </si>
  <si>
    <t>PN-09-0132</t>
  </si>
  <si>
    <t>A9E753BF-F5E5-44A7-A3AB-4B2B50390204</t>
  </si>
  <si>
    <t>PreAuthYN</t>
  </si>
  <si>
    <t>QA8</t>
  </si>
  <si>
    <t>QC11</t>
  </si>
  <si>
    <t>NELSPRUIT</t>
  </si>
  <si>
    <t>PTA NORTH</t>
  </si>
  <si>
    <t>QD12</t>
  </si>
  <si>
    <t>JHB CENTRAL</t>
  </si>
  <si>
    <t>QC9</t>
  </si>
  <si>
    <t>KZN PIETERMARITZBURG</t>
  </si>
  <si>
    <t>PTA CENTRAL</t>
  </si>
  <si>
    <t>JHB VAAL</t>
  </si>
  <si>
    <t>KZN CENTRAL</t>
  </si>
  <si>
    <t xml:space="preserve">Medical Aid:  </t>
  </si>
  <si>
    <t xml:space="preserve">Hospital: </t>
  </si>
  <si>
    <t>FEDHEALTH MEDICAL SCHEME (FLEXIFED 1 ELITE)</t>
  </si>
  <si>
    <t>FEDHEALTH MEDICAL SCHEME (FLEXIFED 1)</t>
  </si>
  <si>
    <t>FEDHEALTH MEDICAL SCHEME (MYFED)</t>
  </si>
  <si>
    <t>METROPOLITAN MEDICAL SCHEME</t>
  </si>
  <si>
    <t>7C59A984-E811-4BD4-8660-45CEF30482C5</t>
  </si>
  <si>
    <t>JHB EAST CENTRAL</t>
  </si>
  <si>
    <t>QA9</t>
  </si>
  <si>
    <t>KZN FAR NORTH</t>
  </si>
  <si>
    <t>QD13</t>
  </si>
  <si>
    <t>AD0BE1AE-3973-4B54-B873-9BFED5DA4871</t>
  </si>
  <si>
    <t>38C3ED97-AA36-45DB-9EE5-2B0C6D981EC7</t>
  </si>
  <si>
    <t>KerraFoam Simple Border (7.5 x 7.5cm)</t>
  </si>
  <si>
    <t>CWL1198</t>
  </si>
  <si>
    <t>FBFCE454-F022-4C51-AFDE-6A0A75F037F1</t>
  </si>
  <si>
    <t>KerraFoam Simple Border (10 x 10cm)</t>
  </si>
  <si>
    <t>CWL1199</t>
  </si>
  <si>
    <t>FF51048B-D855-4199-81C6-9E42815A1E5E</t>
  </si>
  <si>
    <t xml:space="preserve">KerraFoam Simple Border (12.5 x 12.5cm) </t>
  </si>
  <si>
    <t>CWL1200</t>
  </si>
  <si>
    <t>7214A514-D7AF-45AD-880A-E40FA7AC1C59</t>
  </si>
  <si>
    <t xml:space="preserve">KerraFoam Simple Border (15 x 15cm) </t>
  </si>
  <si>
    <t>CWL1201</t>
  </si>
  <si>
    <t>6C8C439A-0CBC-44F1-90D4-02E0199C814D</t>
  </si>
  <si>
    <t xml:space="preserve">KerraFoam Simple Border (10 x 20cm) </t>
  </si>
  <si>
    <t>CWL1202</t>
  </si>
  <si>
    <t>5F3C1AFF-5329-4825-A4F6-59264924EC3D</t>
  </si>
  <si>
    <t>KerraFoam Simple Border (15 x 20cm)</t>
  </si>
  <si>
    <t>CWL1203</t>
  </si>
  <si>
    <t>F8B5031F-3880-4D7A-A476-6A3971471571</t>
  </si>
  <si>
    <t xml:space="preserve">KerraFoam Simple (5 x 5cm) </t>
  </si>
  <si>
    <t>CWL1204</t>
  </si>
  <si>
    <t>B27AB1A6-3B50-4952-A7F5-6701FB01AF3B</t>
  </si>
  <si>
    <t xml:space="preserve">KerraFoam Simple (10 x 10cm) </t>
  </si>
  <si>
    <t>CWL1205</t>
  </si>
  <si>
    <t>A9DF50AA-1578-4B8E-ABCF-658ABD18B92F</t>
  </si>
  <si>
    <t xml:space="preserve">KerraFoam Simple (15 x 15cm) </t>
  </si>
  <si>
    <t>CWL1207</t>
  </si>
  <si>
    <t>8D63BEF0-1A76-49FE-B5C5-EC7417B5F1C6</t>
  </si>
  <si>
    <t xml:space="preserve">KerraFoam Simple (10 x 20cm) </t>
  </si>
  <si>
    <t>CWL1208</t>
  </si>
  <si>
    <t>679D13E1-7AC4-402C-8516-F4918F390830</t>
  </si>
  <si>
    <t>KerraFoam Simple (20 x 20cm)</t>
  </si>
  <si>
    <t>CWL1209</t>
  </si>
  <si>
    <t>8799714B-95A1-45B4-9DE7-E7D851B9B011</t>
  </si>
  <si>
    <t>FEMA MEDICAL SCHEME</t>
  </si>
  <si>
    <t>FISHING INDUSTRY MEDICAL SCHEME (FISHMED)</t>
  </si>
  <si>
    <t>MEDIPOS MEDICAL SCHEME</t>
  </si>
  <si>
    <t>MEDSHIELD MEDICAL SCHEME</t>
  </si>
  <si>
    <t>OLD MUTUAL STAFF MEDICAL AID SCHEME</t>
  </si>
  <si>
    <t>PARMED MEDICAL AID</t>
  </si>
  <si>
    <t>TFG MEDICAL AID SCHEME (THE FOSCHINI GROUP)</t>
  </si>
  <si>
    <t>THEBEMED MEDICAL SCHEME</t>
  </si>
  <si>
    <t>HEALTH SQUARED MEDICAL SCHEME</t>
  </si>
  <si>
    <t>933AE930-55FB-4396-A95F-B177E203F667</t>
  </si>
  <si>
    <t>HEALTHSHARE</t>
  </si>
  <si>
    <t>F4D4BC31-4BA8-47F3-B5B7-459412C88F02</t>
  </si>
  <si>
    <t>P.S.E.M.A.S</t>
  </si>
  <si>
    <t>F6F7A304-6F40-41BD-A58D-617A23B333AB</t>
  </si>
  <si>
    <t>SWAZILAND</t>
  </si>
  <si>
    <t>6A333AD2-35CC-4B25-BC52-3EA734CCAAFB</t>
  </si>
  <si>
    <t>PRE1001</t>
  </si>
  <si>
    <t>00860013000387</t>
  </si>
  <si>
    <t>00860013000363</t>
  </si>
  <si>
    <t>FREESTATE</t>
  </si>
  <si>
    <t>GARDEN ROUTE</t>
  </si>
  <si>
    <t>JHB MILPARK</t>
  </si>
  <si>
    <t>QA10</t>
  </si>
  <si>
    <t>JHB NORTH CENTRAL</t>
  </si>
  <si>
    <t>NORTHERN CAPE</t>
  </si>
  <si>
    <t>QC12</t>
  </si>
  <si>
    <t>WCAPE CENTRAL</t>
  </si>
  <si>
    <t>WCAPE FAR NORTH</t>
  </si>
  <si>
    <t>WCAPE NORTH</t>
  </si>
  <si>
    <t>WCAPE SOUTH</t>
  </si>
  <si>
    <t>JHB REHAB</t>
  </si>
  <si>
    <t>KZN NORTH</t>
  </si>
  <si>
    <t>KZN WEST</t>
  </si>
  <si>
    <t>POTCH &amp; KLERKSDORP &amp; LENMED</t>
  </si>
  <si>
    <t>WITBANK &amp; MIDDLEBURG</t>
  </si>
  <si>
    <t>VAC GrauFoam Extra Large Dressing Kit</t>
  </si>
  <si>
    <t>VAC TRAC Pad</t>
  </si>
  <si>
    <t>VAC ULTA INSTILLATION VERAFLO CLEANSE CHOICE DRESSING</t>
  </si>
  <si>
    <t>ABTHERA Dressing Kit</t>
  </si>
  <si>
    <t>PREVENA SHORT KIT</t>
  </si>
  <si>
    <t>PREVENA PLUS KIT</t>
  </si>
  <si>
    <t>PROMOGRAN PRISMA - Wound balancing matrix with silver 28cm²</t>
  </si>
  <si>
    <t>PROMOGRAN PRISMA - Wound balancing matrix with silver 123cm²</t>
  </si>
  <si>
    <t>ACTISORB SILVER 220 - Activated charcoal with silver (6.5 x 9.5cm)</t>
  </si>
  <si>
    <t>ACTISORB SILVER 220 - Activated charcoal with silver (10.5 x 10.5cm)</t>
  </si>
  <si>
    <t>ACTISORB SILVER 220 - Activated charcoal with silver (10.5 x 19cm)</t>
  </si>
  <si>
    <t>SILVERCEL NA - Non-adherent hydro alginate with silver (5 x 5cm)</t>
  </si>
  <si>
    <t>SILVERCEL NA - Non-adherent hydro alginate with silver (11 x 11cm)</t>
  </si>
  <si>
    <t>SILVERCEL NA - Non-adherent hydro alginate with silver (10 x 20cm)</t>
  </si>
  <si>
    <t>SILVERCEL NA - Non-adherent hydro alginate with silver (2.5 x 30cm)</t>
  </si>
  <si>
    <t>INADINE - PVP-I Non-adherent dressing (5 x 5cm)</t>
  </si>
  <si>
    <t>INADINE - PVP-I Non-adherent dressing (9.5 x 9.5cm)</t>
  </si>
  <si>
    <t>ADAPTIC - Primary wound contact layer (7.5 x 7.5cm)</t>
  </si>
  <si>
    <t>ADAPTIC - Primary wound contact layer (7.5 x 20cm)</t>
  </si>
  <si>
    <t>ADAPTIC - Primary wound contact layer (7.5 x 40cm)</t>
  </si>
  <si>
    <t>ADAPTIC - Primary wound contact layer (7.5 x 150cm)</t>
  </si>
  <si>
    <t>ADAPTIC - Primary wound contact layer (12.5 x 22.5cm)</t>
  </si>
  <si>
    <t>ADAPTIC TOUCH - Silicone wound contact layer (5 x 7.6cm)</t>
  </si>
  <si>
    <t>ADAPTIC TOUCH - Silicone wound contact layer (7.6 x 11cm)</t>
  </si>
  <si>
    <t>ADAPTIC TOUCH - Silicone wound contact layer (12.7 x 15cm)</t>
  </si>
  <si>
    <t>ADAPTIC TOUCH - Silicone wound contact layer (20 x 32cm)</t>
  </si>
  <si>
    <t>NU-GEL - Hydrogel with alginate 25 g - (6)</t>
  </si>
  <si>
    <t>TIELLE - Hydropolymer adhesive foam dressing (7 x 9cm)</t>
  </si>
  <si>
    <t>TIELLE - Hydropolymer adhesive foam dressing (11 x 11cm)</t>
  </si>
  <si>
    <t>TIELLE - Hydropolymer adhesive foam dressing (15 x 20cm)</t>
  </si>
  <si>
    <t>TIELLE - Hydropolymer adhesive sacrum dressing (18 x 18cm)</t>
  </si>
  <si>
    <t>TIELLE PLUS - Hydropolymer adhesive foam dressing (11 x 11cm)</t>
  </si>
  <si>
    <t>TIELLE PLUS - Hydropolymer adhesive foam dressing (15 x 20cm)</t>
  </si>
  <si>
    <t>TIELLE PLUS - Hydropolymer adhesive foam dressing(15 x 15)</t>
  </si>
  <si>
    <t>TIELLE LITE - Hydropolymer adhesive foam dressing (8 x 20cm)</t>
  </si>
  <si>
    <t>ACTISORB SILVER ANTIMICROBIAL DRESSING 25 6.5 x 9.5cm</t>
  </si>
  <si>
    <t>MAP065</t>
  </si>
  <si>
    <t>C54B371D-3296-408B-BB87-16196CA1EAEF</t>
  </si>
  <si>
    <t>ACTISORB SILVER ANTIMICROBIAL DRESSING 25 10 x 10cm</t>
  </si>
  <si>
    <t>MAP105</t>
  </si>
  <si>
    <t>86557181-F98E-48E8-9593-9FB47362B3D7</t>
  </si>
  <si>
    <t>ACTISORB SILVER ANTIMICROBIAL DRESSING 25 15 x 15cm</t>
  </si>
  <si>
    <t>MAP190</t>
  </si>
  <si>
    <t>47C79D26-8A1E-4DD0-A2AE-0C280F22256D</t>
  </si>
  <si>
    <t>Wound Crown 3.3x3.8cm</t>
  </si>
  <si>
    <t>Isolator Strip 35.6x3.3cm</t>
  </si>
  <si>
    <t>Coban 2 compresion</t>
  </si>
  <si>
    <t>FA27D331-B1BF-4A6C-81B7-EE410281A675</t>
  </si>
  <si>
    <t>CAVILON NSBF (No Sting Barrier Spray)</t>
  </si>
  <si>
    <t>3346E</t>
  </si>
  <si>
    <t>65DD14B2-3847-4211-B532-EF48FD18A51E</t>
  </si>
  <si>
    <t>Cavilon DBC  (Durable Barrier Cream)</t>
  </si>
  <si>
    <t xml:space="preserve">3392G </t>
  </si>
  <si>
    <t>7B74EC63-ABEF-412F-8085-10B2B80667C6</t>
  </si>
  <si>
    <t>Cavilon Advanced (applicator)</t>
  </si>
  <si>
    <t>5050G</t>
  </si>
  <si>
    <t>659D8404-DBA8-41B7-9FF8-00F74EF1E183</t>
  </si>
  <si>
    <t>Tegaderm Absorbent (Acrylic)</t>
  </si>
  <si>
    <t>F57A480C-D813-452D-A200-B3569EA53A3F</t>
  </si>
  <si>
    <t>33B5F4B7-B17A-4ADF-9796-24BE5F8AF47E</t>
  </si>
  <si>
    <t>Tegaderm Absorbent (Acrylic - Square)</t>
  </si>
  <si>
    <t>3A3B199B-1801-4404-A36F-B39C453FE364</t>
  </si>
  <si>
    <t>9AD83B4D-3FE6-4C5F-A8A8-ED823BFAAA2D</t>
  </si>
  <si>
    <t>A26EF5D3-2547-4E40-8EA3-AC1FD317E64C</t>
  </si>
  <si>
    <t>996860</t>
  </si>
  <si>
    <t>996861</t>
  </si>
  <si>
    <t>2012</t>
  </si>
  <si>
    <t>2015</t>
  </si>
  <si>
    <t>2014</t>
  </si>
  <si>
    <t>2018</t>
  </si>
  <si>
    <t>2019</t>
  </si>
  <si>
    <t>7025</t>
  </si>
  <si>
    <t>2094</t>
  </si>
  <si>
    <t>90800</t>
  </si>
  <si>
    <t>90801</t>
  </si>
  <si>
    <t>90802</t>
  </si>
  <si>
    <t>90803</t>
  </si>
  <si>
    <t>90805</t>
  </si>
  <si>
    <t xml:space="preserve">Level of Exudate (ml/24hrs): </t>
  </si>
  <si>
    <t>CINTOCARE MENLYN MAINE</t>
  </si>
  <si>
    <t>CROSSMED PRIVATE HOSPITAL MTHATHA</t>
  </si>
  <si>
    <t>EMALAHLENI PRIVATE HOSPITAL</t>
  </si>
  <si>
    <t>INTERCARE HAZELDEAN</t>
  </si>
  <si>
    <t>INTERCARE IRENE</t>
  </si>
  <si>
    <t>INTERCARE PRETORIA EAST (WOODHILL)</t>
  </si>
  <si>
    <t>INTERCARE TYGERVALLEY SUB-ACUTE &amp; REHABILITATION HOSPITAL</t>
  </si>
  <si>
    <t>MEDLEB CLINIC LEBOWAKGOMO</t>
  </si>
  <si>
    <t>MOREHILL CLINIC</t>
  </si>
  <si>
    <t>NURTURE CAPE VIEW HOSPITAL</t>
  </si>
  <si>
    <t>Dependent Code:</t>
  </si>
  <si>
    <t>DependantCode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</si>
</sst>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R&quot;* #,##0.00_-;\-&quot;R&quot;* #,##0.00_-;_-&quot;R&quot;* &quot;-&quot;??_-;_-@_-"/>
    <numFmt numFmtId="43" formatCode="_-* #,##0.00_-;\-* #,##0.00_-;_-* &quot;-&quot;??_-;_-@_-"/>
    <numFmt numFmtId="164" formatCode="&quot;$&quot;#,##0_);\(&quot;$&quot;#,##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R&quot;* #,##0.00_);_(&quot;R&quot;* \(#,##0.00\);_(&quot;R&quot;* &quot;-&quot;??_);_(@_)"/>
    <numFmt numFmtId="168" formatCode="yyyy\-mm\-dd"/>
    <numFmt numFmtId="169" formatCode="dd\-mm\-yyyy\,\ hh:mm:ss"/>
    <numFmt numFmtId="170" formatCode="_-&quot;£&quot;* #,##0_-;\-&quot;£&quot;* #,##0_-;_-&quot;£&quot;* &quot;-&quot;_-;_-@_-"/>
    <numFmt numFmtId="171" formatCode="_-&quot;£&quot;* #,##0.00_-;\-&quot;£&quot;* #,##0.00_-;_-&quot;£&quot;* &quot;-&quot;??_-;_-@_-"/>
    <numFmt numFmtId="172" formatCode="0%_);[Red]\(0%\)"/>
    <numFmt numFmtId="173" formatCode="0.00%_);[Red]\(0.00%\)"/>
    <numFmt numFmtId="174" formatCode="yyyy/mm/dd;@"/>
    <numFmt numFmtId="175" formatCode="[&lt;=9999999]###\-####;\(###\)\ ###\-####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indexed="8"/>
      <name val="Goudy Old Style"/>
      <family val="1"/>
    </font>
    <font>
      <sz val="11"/>
      <color indexed="8"/>
      <name val="Goudy Old Style"/>
      <family val="1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Goudy Old Style"/>
      <family val="1"/>
    </font>
    <font>
      <b/>
      <sz val="16"/>
      <name val="Goudy Old Style"/>
      <family val="1"/>
    </font>
    <font>
      <sz val="11"/>
      <name val="Goudy Old Style"/>
      <family val="1"/>
    </font>
    <font>
      <b/>
      <sz val="12"/>
      <name val="Goudy Old Style"/>
      <family val="1"/>
    </font>
    <font>
      <b/>
      <sz val="11"/>
      <name val="Goudy Old Style"/>
      <family val="1"/>
    </font>
    <font>
      <sz val="10"/>
      <color indexed="9"/>
      <name val="Arial"/>
      <family val="2"/>
    </font>
    <font>
      <sz val="26"/>
      <color indexed="9"/>
      <name val="Times New Roman"/>
      <family val="1"/>
    </font>
    <font>
      <sz val="26"/>
      <color indexed="9"/>
      <name val="Arial"/>
      <family val="2"/>
    </font>
    <font>
      <b/>
      <sz val="12"/>
      <color indexed="8"/>
      <name val="Goudy Old Style"/>
      <family val="1"/>
    </font>
    <font>
      <sz val="12"/>
      <color indexed="8"/>
      <name val="Goudy Old Style"/>
      <family val="1"/>
    </font>
    <font>
      <sz val="10"/>
      <color indexed="8"/>
      <name val="Goudy Old Style"/>
      <family val="1"/>
    </font>
    <font>
      <b/>
      <u/>
      <sz val="12"/>
      <color indexed="8"/>
      <name val="Goudy Old Style"/>
      <family val="1"/>
    </font>
    <font>
      <b/>
      <sz val="12"/>
      <color indexed="10"/>
      <name val="Goudy Old Style"/>
      <family val="1"/>
    </font>
    <font>
      <b/>
      <sz val="10"/>
      <color indexed="8"/>
      <name val="Goudy Old Style"/>
      <family val="1"/>
    </font>
    <font>
      <sz val="11"/>
      <color indexed="8"/>
      <name val="Times New Roman"/>
      <family val="2"/>
    </font>
    <font>
      <b/>
      <i/>
      <sz val="10"/>
      <color indexed="8"/>
      <name val="Goudy Old Style"/>
      <family val="1"/>
    </font>
    <font>
      <sz val="10"/>
      <name val="Goudy Old Style"/>
      <family val="1"/>
    </font>
    <font>
      <b/>
      <sz val="12"/>
      <color theme="2"/>
      <name val="Goudy Old Style"/>
      <family val="1"/>
    </font>
    <font>
      <b/>
      <sz val="10"/>
      <name val="Goudy Old Style"/>
      <family val="1"/>
    </font>
    <font>
      <sz val="12"/>
      <color indexed="10"/>
      <name val="Goudy Old Style"/>
      <family val="1"/>
    </font>
    <font>
      <sz val="10"/>
      <name val="Calibri"/>
      <family val="2"/>
      <scheme val="minor"/>
    </font>
    <font>
      <b/>
      <sz val="16"/>
      <color rgb="FFFF0000"/>
      <name val="Goudy Old Style"/>
      <family val="1"/>
    </font>
    <font>
      <sz val="11"/>
      <color theme="4" tint="-0.249977111117893"/>
      <name val="Calibri"/>
      <family val="2"/>
      <scheme val="minor"/>
    </font>
    <font>
      <b/>
      <sz val="14"/>
      <name val="Goudy Old Style"/>
      <family val="1"/>
    </font>
    <font>
      <sz val="16"/>
      <name val="Goudy Old Style"/>
      <family val="1"/>
    </font>
    <font>
      <b/>
      <sz val="14"/>
      <color rgb="FFFF0000"/>
      <name val="Goudy Old Style"/>
      <family val="1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color theme="1"/>
      <name val="Goudy Old Style"/>
      <family val="1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b/>
      <u/>
      <sz val="14"/>
      <color rgb="FFFF0000"/>
      <name val="Goudy Old Style"/>
      <family val="1"/>
    </font>
    <font>
      <sz val="10"/>
      <name val="Arial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8"/>
      <color theme="0"/>
      <name val="Goudy Old Style"/>
      <family val="1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22222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4" tint="-0.249977111117893"/>
      <name val="Calibri"/>
      <family val="2"/>
      <scheme val="minor"/>
    </font>
    <font>
      <b/>
      <sz val="11"/>
      <color theme="0"/>
      <name val="Goudy Old Style"/>
      <family val="1"/>
    </font>
    <font>
      <b/>
      <sz val="16"/>
      <color theme="0"/>
      <name val="Goudy Old Style"/>
      <family val="1"/>
    </font>
  </fonts>
  <fills count="3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26"/>
      </patternFill>
    </fill>
    <fill>
      <patternFill patternType="solid">
        <fgColor rgb="FF7030A0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7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CC"/>
        <bgColor indexed="26"/>
      </patternFill>
    </fill>
    <fill>
      <patternFill patternType="solid">
        <fgColor rgb="FFC6EFCE"/>
      </patternFill>
    </fill>
    <fill>
      <patternFill patternType="solid">
        <fgColor indexed="55"/>
        <bgColor indexed="64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rgb="FFFFEB9C"/>
      </patternFill>
    </fill>
    <fill>
      <patternFill patternType="solid">
        <fgColor indexed="22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theme="1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/>
    <xf numFmtId="167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33" fillId="25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37" fontId="36" fillId="3" borderId="7" applyBorder="0" applyProtection="0">
      <alignment vertical="center"/>
    </xf>
    <xf numFmtId="164" fontId="37" fillId="0" borderId="25">
      <protection locked="0"/>
    </xf>
    <xf numFmtId="0" fontId="38" fillId="26" borderId="0" applyBorder="0">
      <alignment horizontal="left" vertical="center" indent="1"/>
    </xf>
    <xf numFmtId="3" fontId="5" fillId="0" borderId="0" applyFont="0" applyFill="0" applyBorder="0" applyAlignment="0" applyProtection="0"/>
    <xf numFmtId="44" fontId="2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9" fillId="0" borderId="29"/>
    <xf numFmtId="4" fontId="37" fillId="27" borderId="29">
      <protection locked="0"/>
    </xf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4" fontId="37" fillId="28" borderId="29"/>
    <xf numFmtId="43" fontId="40" fillId="0" borderId="3"/>
    <xf numFmtId="37" fontId="41" fillId="29" borderId="25" applyBorder="0">
      <alignment horizontal="left" vertical="center" indent="1"/>
    </xf>
    <xf numFmtId="37" fontId="42" fillId="30" borderId="30" applyFill="0">
      <alignment vertical="center"/>
    </xf>
    <xf numFmtId="0" fontId="42" fillId="8" borderId="11" applyNumberFormat="0">
      <alignment horizontal="left" vertical="top" indent="1"/>
    </xf>
    <xf numFmtId="0" fontId="42" fillId="3" borderId="0" applyBorder="0">
      <alignment horizontal="left" vertical="center" indent="1"/>
    </xf>
    <xf numFmtId="0" fontId="42" fillId="0" borderId="11" applyNumberFormat="0" applyFill="0">
      <alignment horizontal="centerContinuous" vertical="top"/>
    </xf>
    <xf numFmtId="43" fontId="40" fillId="0" borderId="16"/>
    <xf numFmtId="165" fontId="40" fillId="0" borderId="31"/>
    <xf numFmtId="0" fontId="43" fillId="30" borderId="0">
      <alignment horizontal="left" wrapText="1" indent="1"/>
    </xf>
    <xf numFmtId="0" fontId="44" fillId="0" borderId="0"/>
    <xf numFmtId="172" fontId="45" fillId="31" borderId="32"/>
    <xf numFmtId="173" fontId="45" fillId="0" borderId="32" applyFont="0" applyFill="0" applyBorder="0" applyAlignment="0" applyProtection="0">
      <protection locked="0"/>
    </xf>
    <xf numFmtId="2" fontId="46" fillId="0" borderId="0">
      <protection locked="0"/>
    </xf>
    <xf numFmtId="0" fontId="5" fillId="32" borderId="0"/>
    <xf numFmtId="49" fontId="5" fillId="0" borderId="0" applyFont="0" applyFill="0" applyBorder="0" applyAlignment="0" applyProtection="0"/>
    <xf numFmtId="0" fontId="47" fillId="0" borderId="0">
      <alignment horizontal="right"/>
    </xf>
    <xf numFmtId="0" fontId="48" fillId="0" borderId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0" fillId="0" borderId="0"/>
    <xf numFmtId="0" fontId="50" fillId="0" borderId="0"/>
    <xf numFmtId="0" fontId="4" fillId="0" borderId="0">
      <alignment vertical="top"/>
    </xf>
    <xf numFmtId="0" fontId="55" fillId="0" borderId="0"/>
    <xf numFmtId="0" fontId="56" fillId="33" borderId="0" applyNumberFormat="0" applyBorder="0" applyAlignment="0" applyProtection="0"/>
    <xf numFmtId="0" fontId="57" fillId="0" borderId="0"/>
    <xf numFmtId="0" fontId="4" fillId="0" borderId="0"/>
    <xf numFmtId="0" fontId="4" fillId="0" borderId="0"/>
    <xf numFmtId="0" fontId="60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37" fontId="36" fillId="3" borderId="40" applyBorder="0" applyProtection="0">
      <alignment vertical="center"/>
    </xf>
    <xf numFmtId="44" fontId="21" fillId="0" borderId="0" applyFont="0" applyFill="0" applyBorder="0" applyAlignment="0" applyProtection="0"/>
    <xf numFmtId="43" fontId="40" fillId="0" borderId="3"/>
    <xf numFmtId="43" fontId="40" fillId="0" borderId="16"/>
    <xf numFmtId="0" fontId="5" fillId="0" borderId="0"/>
    <xf numFmtId="0" fontId="5" fillId="0" borderId="0"/>
    <xf numFmtId="0" fontId="56" fillId="33" borderId="0" applyNumberFormat="0" applyBorder="0" applyAlignment="0" applyProtection="0"/>
  </cellStyleXfs>
  <cellXfs count="455">
    <xf numFmtId="0" fontId="0" fillId="0" borderId="0" xfId="0"/>
    <xf numFmtId="0" fontId="2" fillId="0" borderId="0" xfId="1" applyFont="1" applyBorder="1"/>
    <xf numFmtId="0" fontId="3" fillId="0" borderId="0" xfId="1" applyFont="1" applyBorder="1"/>
    <xf numFmtId="0" fontId="1" fillId="0" borderId="0" xfId="1"/>
    <xf numFmtId="0" fontId="3" fillId="0" borderId="0" xfId="1" applyFont="1" applyFill="1" applyBorder="1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49" fontId="3" fillId="0" borderId="0" xfId="1" applyNumberFormat="1" applyFont="1" applyBorder="1"/>
    <xf numFmtId="0" fontId="10" fillId="0" borderId="0" xfId="1" applyFont="1" applyFill="1" applyBorder="1" applyAlignment="1" applyProtection="1">
      <alignment horizontal="right" vertical="center" indent="1"/>
    </xf>
    <xf numFmtId="0" fontId="7" fillId="0" borderId="0" xfId="1" applyFont="1" applyFill="1" applyAlignment="1" applyProtection="1">
      <alignment vertical="center"/>
    </xf>
    <xf numFmtId="0" fontId="5" fillId="0" borderId="0" xfId="4" applyFont="1" applyProtection="1"/>
    <xf numFmtId="0" fontId="7" fillId="0" borderId="0" xfId="4" applyFont="1" applyProtection="1"/>
    <xf numFmtId="0" fontId="7" fillId="0" borderId="0" xfId="1" applyFont="1" applyFill="1" applyAlignment="1" applyProtection="1">
      <alignment vertical="center"/>
      <protection locked="0"/>
    </xf>
    <xf numFmtId="0" fontId="7" fillId="9" borderId="2" xfId="1" applyFont="1" applyFill="1" applyBorder="1" applyAlignment="1" applyProtection="1">
      <alignment vertical="center"/>
    </xf>
    <xf numFmtId="0" fontId="7" fillId="9" borderId="4" xfId="1" applyFont="1" applyFill="1" applyBorder="1" applyAlignment="1" applyProtection="1">
      <alignment vertical="center"/>
    </xf>
    <xf numFmtId="0" fontId="7" fillId="9" borderId="5" xfId="1" applyFont="1" applyFill="1" applyBorder="1" applyAlignment="1" applyProtection="1">
      <alignment vertical="center"/>
    </xf>
    <xf numFmtId="0" fontId="7" fillId="9" borderId="6" xfId="1" applyFont="1" applyFill="1" applyBorder="1" applyAlignment="1" applyProtection="1">
      <alignment vertical="center"/>
    </xf>
    <xf numFmtId="49" fontId="10" fillId="9" borderId="0" xfId="1" applyNumberFormat="1" applyFont="1" applyFill="1" applyBorder="1" applyAlignment="1" applyProtection="1">
      <alignment horizontal="center" vertical="center"/>
    </xf>
    <xf numFmtId="49" fontId="7" fillId="9" borderId="0" xfId="1" applyNumberFormat="1" applyFont="1" applyFill="1" applyBorder="1" applyAlignment="1" applyProtection="1">
      <alignment horizontal="center" vertical="center"/>
    </xf>
    <xf numFmtId="0" fontId="10" fillId="9" borderId="0" xfId="1" applyFont="1" applyFill="1" applyBorder="1" applyAlignment="1" applyProtection="1">
      <alignment horizontal="right" vertical="center"/>
    </xf>
    <xf numFmtId="49" fontId="7" fillId="9" borderId="0" xfId="1" applyNumberFormat="1" applyFont="1" applyFill="1" applyBorder="1" applyAlignment="1" applyProtection="1">
      <alignment vertical="center"/>
    </xf>
    <xf numFmtId="0" fontId="11" fillId="9" borderId="0" xfId="1" applyFont="1" applyFill="1" applyBorder="1" applyAlignment="1" applyProtection="1">
      <alignment horizontal="right" vertical="center" indent="1"/>
    </xf>
    <xf numFmtId="0" fontId="7" fillId="9" borderId="0" xfId="1" applyFont="1" applyFill="1" applyAlignment="1" applyProtection="1">
      <alignment vertical="center"/>
      <protection locked="0"/>
    </xf>
    <xf numFmtId="49" fontId="10" fillId="9" borderId="0" xfId="1" applyNumberFormat="1" applyFont="1" applyFill="1" applyBorder="1" applyAlignment="1" applyProtection="1">
      <alignment horizontal="right" vertical="center" indent="1"/>
    </xf>
    <xf numFmtId="0" fontId="7" fillId="9" borderId="0" xfId="1" applyFont="1" applyFill="1" applyBorder="1" applyAlignment="1" applyProtection="1">
      <alignment vertical="center"/>
      <protection locked="0"/>
    </xf>
    <xf numFmtId="0" fontId="7" fillId="9" borderId="10" xfId="1" applyFont="1" applyFill="1" applyBorder="1" applyAlignment="1" applyProtection="1">
      <alignment vertical="center"/>
    </xf>
    <xf numFmtId="0" fontId="7" fillId="9" borderId="11" xfId="1" applyFont="1" applyFill="1" applyBorder="1" applyAlignment="1" applyProtection="1">
      <alignment vertical="center"/>
    </xf>
    <xf numFmtId="0" fontId="7" fillId="9" borderId="11" xfId="1" applyFont="1" applyFill="1" applyBorder="1" applyAlignment="1" applyProtection="1">
      <alignment horizontal="left" vertical="center" indent="1"/>
    </xf>
    <xf numFmtId="0" fontId="7" fillId="9" borderId="12" xfId="1" applyFont="1" applyFill="1" applyBorder="1" applyAlignment="1" applyProtection="1">
      <alignment vertical="center"/>
    </xf>
    <xf numFmtId="0" fontId="7" fillId="9" borderId="18" xfId="1" applyFont="1" applyFill="1" applyBorder="1" applyAlignment="1" applyProtection="1">
      <alignment vertical="center"/>
    </xf>
    <xf numFmtId="49" fontId="7" fillId="9" borderId="0" xfId="1" applyNumberFormat="1" applyFont="1" applyFill="1" applyBorder="1" applyAlignment="1" applyProtection="1">
      <alignment horizontal="left" vertical="center"/>
    </xf>
    <xf numFmtId="0" fontId="24" fillId="9" borderId="0" xfId="1" applyFont="1" applyFill="1" applyBorder="1" applyAlignment="1" applyProtection="1">
      <alignment horizontal="right" vertical="center" indent="1"/>
    </xf>
    <xf numFmtId="49" fontId="7" fillId="9" borderId="0" xfId="1" applyNumberFormat="1" applyFont="1" applyFill="1" applyBorder="1" applyAlignment="1" applyProtection="1">
      <alignment horizontal="right" vertical="center" indent="1"/>
    </xf>
    <xf numFmtId="0" fontId="7" fillId="9" borderId="0" xfId="1" applyFont="1" applyFill="1" applyBorder="1" applyAlignment="1" applyProtection="1">
      <alignment horizontal="left" vertical="center"/>
    </xf>
    <xf numFmtId="0" fontId="9" fillId="9" borderId="0" xfId="1" applyFont="1" applyFill="1" applyBorder="1" applyAlignment="1" applyProtection="1">
      <alignment horizontal="left" vertical="center" indent="3"/>
    </xf>
    <xf numFmtId="0" fontId="11" fillId="9" borderId="0" xfId="1" applyFont="1" applyFill="1" applyBorder="1" applyAlignment="1" applyProtection="1">
      <alignment vertical="center"/>
    </xf>
    <xf numFmtId="0" fontId="11" fillId="9" borderId="0" xfId="1" applyFont="1" applyFill="1" applyBorder="1" applyAlignment="1" applyProtection="1">
      <alignment horizontal="right" vertical="center"/>
    </xf>
    <xf numFmtId="0" fontId="11" fillId="9" borderId="0" xfId="1" applyFont="1" applyFill="1" applyBorder="1" applyAlignment="1" applyProtection="1">
      <alignment horizontal="right" vertical="top" indent="1"/>
    </xf>
    <xf numFmtId="0" fontId="10" fillId="9" borderId="0" xfId="1" applyFont="1" applyFill="1" applyBorder="1" applyAlignment="1" applyProtection="1">
      <alignment horizontal="right" vertical="center" indent="1"/>
    </xf>
    <xf numFmtId="0" fontId="7" fillId="9" borderId="0" xfId="1" applyFont="1" applyFill="1" applyBorder="1" applyAlignment="1" applyProtection="1">
      <alignment vertical="top" wrapText="1"/>
    </xf>
    <xf numFmtId="0" fontId="7" fillId="9" borderId="18" xfId="1" applyFont="1" applyFill="1" applyBorder="1" applyAlignment="1" applyProtection="1">
      <alignment vertical="top" wrapText="1"/>
    </xf>
    <xf numFmtId="0" fontId="3" fillId="10" borderId="1" xfId="1" applyFont="1" applyFill="1" applyBorder="1" applyAlignment="1">
      <alignment vertical="top" wrapText="1"/>
    </xf>
    <xf numFmtId="0" fontId="3" fillId="12" borderId="1" xfId="1" applyFont="1" applyFill="1" applyBorder="1" applyAlignment="1">
      <alignment vertical="top" wrapText="1"/>
    </xf>
    <xf numFmtId="0" fontId="3" fillId="11" borderId="1" xfId="1" applyFont="1" applyFill="1" applyBorder="1" applyAlignment="1">
      <alignment vertical="top" wrapText="1"/>
    </xf>
    <xf numFmtId="0" fontId="27" fillId="11" borderId="1" xfId="0" applyFont="1" applyFill="1" applyBorder="1" applyAlignment="1">
      <alignment vertical="top" wrapText="1"/>
    </xf>
    <xf numFmtId="0" fontId="27" fillId="13" borderId="1" xfId="0" applyFont="1" applyFill="1" applyBorder="1" applyAlignment="1">
      <alignment vertical="top" wrapText="1"/>
    </xf>
    <xf numFmtId="0" fontId="0" fillId="13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7" fillId="0" borderId="0" xfId="0" applyFont="1" applyFill="1" applyAlignment="1">
      <alignment vertical="top" wrapText="1"/>
    </xf>
    <xf numFmtId="0" fontId="3" fillId="0" borderId="0" xfId="1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14" borderId="1" xfId="0" applyFill="1" applyBorder="1" applyAlignment="1">
      <alignment vertical="top" wrapText="1"/>
    </xf>
    <xf numFmtId="0" fontId="0" fillId="15" borderId="1" xfId="0" applyFill="1" applyBorder="1" applyAlignment="1">
      <alignment vertical="top" wrapText="1"/>
    </xf>
    <xf numFmtId="0" fontId="0" fillId="16" borderId="1" xfId="0" applyFill="1" applyBorder="1" applyAlignment="1">
      <alignment vertical="top" wrapText="1"/>
    </xf>
    <xf numFmtId="0" fontId="0" fillId="17" borderId="1" xfId="0" applyFill="1" applyBorder="1" applyAlignment="1">
      <alignment vertical="top" wrapText="1"/>
    </xf>
    <xf numFmtId="0" fontId="3" fillId="4" borderId="0" xfId="1" applyFont="1" applyFill="1" applyBorder="1" applyAlignment="1">
      <alignment vertical="top" wrapText="1"/>
    </xf>
    <xf numFmtId="0" fontId="7" fillId="9" borderId="0" xfId="1" applyNumberFormat="1" applyFont="1" applyFill="1" applyBorder="1" applyAlignment="1" applyProtection="1">
      <alignment horizontal="center" vertical="center"/>
    </xf>
    <xf numFmtId="0" fontId="3" fillId="10" borderId="0" xfId="1" applyFont="1" applyFill="1" applyBorder="1" applyAlignment="1">
      <alignment vertical="top" wrapText="1"/>
    </xf>
    <xf numFmtId="0" fontId="3" fillId="12" borderId="0" xfId="1" applyFont="1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8" fillId="9" borderId="0" xfId="1" applyFont="1" applyFill="1" applyBorder="1" applyAlignment="1" applyProtection="1">
      <alignment horizontal="right" vertical="center" indent="1"/>
    </xf>
    <xf numFmtId="14" fontId="7" fillId="0" borderId="0" xfId="1" applyNumberFormat="1" applyFont="1" applyFill="1" applyBorder="1" applyAlignment="1" applyProtection="1">
      <alignment vertical="center"/>
    </xf>
    <xf numFmtId="0" fontId="7" fillId="0" borderId="0" xfId="1" applyFont="1" applyFill="1" applyAlignment="1" applyProtection="1">
      <alignment horizontal="left" vertical="top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vertical="center"/>
      <protection locked="0"/>
    </xf>
    <xf numFmtId="0" fontId="29" fillId="18" borderId="0" xfId="0" applyFont="1" applyFill="1"/>
    <xf numFmtId="0" fontId="29" fillId="0" borderId="0" xfId="0" applyFont="1"/>
    <xf numFmtId="0" fontId="29" fillId="0" borderId="24" xfId="0" applyFont="1" applyBorder="1"/>
    <xf numFmtId="0" fontId="29" fillId="18" borderId="24" xfId="0" applyFont="1" applyFill="1" applyBorder="1"/>
    <xf numFmtId="0" fontId="7" fillId="9" borderId="0" xfId="1" applyFont="1" applyFill="1" applyBorder="1" applyAlignment="1" applyProtection="1">
      <alignment horizontal="left"/>
    </xf>
    <xf numFmtId="0" fontId="7" fillId="9" borderId="17" xfId="1" applyFont="1" applyFill="1" applyBorder="1" applyAlignment="1" applyProtection="1">
      <alignment horizontal="left" vertical="center"/>
    </xf>
    <xf numFmtId="0" fontId="7" fillId="9" borderId="0" xfId="1" applyFont="1" applyFill="1" applyBorder="1" applyAlignment="1" applyProtection="1">
      <alignment horizontal="left" vertical="center" indent="1"/>
    </xf>
    <xf numFmtId="0" fontId="7" fillId="9" borderId="0" xfId="1" applyFont="1" applyFill="1" applyBorder="1" applyAlignment="1" applyProtection="1">
      <alignment horizontal="right" vertical="center"/>
    </xf>
    <xf numFmtId="0" fontId="7" fillId="9" borderId="0" xfId="1" applyFont="1" applyFill="1" applyBorder="1" applyAlignment="1" applyProtection="1">
      <alignment vertical="top"/>
    </xf>
    <xf numFmtId="14" fontId="7" fillId="9" borderId="0" xfId="1" applyNumberFormat="1" applyFont="1" applyFill="1" applyBorder="1" applyAlignment="1" applyProtection="1">
      <alignment horizontal="center" vertical="center"/>
    </xf>
    <xf numFmtId="0" fontId="7" fillId="9" borderId="0" xfId="1" applyFont="1" applyFill="1" applyBorder="1" applyAlignment="1" applyProtection="1">
      <alignment vertical="center"/>
    </xf>
    <xf numFmtId="0" fontId="10" fillId="9" borderId="0" xfId="1" applyFont="1" applyFill="1" applyBorder="1" applyAlignment="1" applyProtection="1">
      <alignment vertical="top" wrapText="1"/>
    </xf>
    <xf numFmtId="0" fontId="10" fillId="9" borderId="0" xfId="1" applyFont="1" applyFill="1" applyBorder="1" applyAlignment="1" applyProtection="1">
      <alignment horizontal="center" vertical="center"/>
    </xf>
    <xf numFmtId="4" fontId="7" fillId="9" borderId="0" xfId="1" applyNumberFormat="1" applyFont="1" applyFill="1" applyBorder="1" applyAlignment="1" applyProtection="1">
      <alignment vertical="center"/>
    </xf>
    <xf numFmtId="0" fontId="31" fillId="0" borderId="0" xfId="1" applyFont="1" applyFill="1" applyAlignment="1" applyProtection="1">
      <alignment vertical="center"/>
      <protection locked="0"/>
    </xf>
    <xf numFmtId="0" fontId="7" fillId="9" borderId="0" xfId="1" applyFont="1" applyFill="1" applyBorder="1" applyAlignment="1" applyProtection="1">
      <alignment vertical="center"/>
    </xf>
    <xf numFmtId="49" fontId="7" fillId="20" borderId="1" xfId="1" applyNumberFormat="1" applyFont="1" applyFill="1" applyBorder="1" applyAlignment="1" applyProtection="1">
      <alignment vertical="center"/>
      <protection locked="0"/>
    </xf>
    <xf numFmtId="0" fontId="7" fillId="20" borderId="1" xfId="1" applyFont="1" applyFill="1" applyBorder="1" applyAlignment="1" applyProtection="1">
      <alignment horizontal="center" vertical="center"/>
      <protection locked="0"/>
    </xf>
    <xf numFmtId="0" fontId="7" fillId="20" borderId="1" xfId="1" applyNumberFormat="1" applyFont="1" applyFill="1" applyBorder="1" applyAlignment="1" applyProtection="1">
      <alignment horizontal="center" vertical="center"/>
      <protection locked="0"/>
    </xf>
    <xf numFmtId="0" fontId="10" fillId="9" borderId="0" xfId="1" applyFont="1" applyFill="1" applyBorder="1" applyAlignment="1" applyProtection="1">
      <alignment horizontal="center" vertical="center"/>
      <protection locked="0"/>
    </xf>
    <xf numFmtId="0" fontId="7" fillId="9" borderId="0" xfId="1" applyFont="1" applyFill="1" applyBorder="1" applyAlignment="1" applyProtection="1">
      <alignment horizontal="left" vertical="top"/>
      <protection locked="0"/>
    </xf>
    <xf numFmtId="0" fontId="7" fillId="9" borderId="0" xfId="1" applyFont="1" applyFill="1" applyBorder="1" applyAlignment="1" applyProtection="1">
      <alignment horizontal="left" vertical="top"/>
    </xf>
    <xf numFmtId="0" fontId="7" fillId="9" borderId="18" xfId="1" applyFont="1" applyFill="1" applyBorder="1" applyAlignment="1" applyProtection="1">
      <alignment horizontal="left" vertical="top"/>
    </xf>
    <xf numFmtId="0" fontId="31" fillId="9" borderId="0" xfId="1" applyFont="1" applyFill="1" applyBorder="1" applyAlignment="1" applyProtection="1">
      <alignment vertical="center"/>
      <protection locked="0"/>
    </xf>
    <xf numFmtId="0" fontId="30" fillId="20" borderId="1" xfId="1" applyNumberFormat="1" applyFont="1" applyFill="1" applyBorder="1" applyAlignment="1" applyProtection="1">
      <alignment horizontal="center" vertical="center"/>
      <protection locked="0"/>
    </xf>
    <xf numFmtId="0" fontId="7" fillId="9" borderId="0" xfId="1" applyFont="1" applyFill="1" applyAlignment="1" applyProtection="1">
      <alignment vertical="center"/>
    </xf>
    <xf numFmtId="0" fontId="7" fillId="9" borderId="0" xfId="1" applyFont="1" applyFill="1" applyBorder="1" applyAlignment="1" applyProtection="1">
      <alignment horizontal="center" vertical="center"/>
    </xf>
    <xf numFmtId="0" fontId="10" fillId="9" borderId="0" xfId="1" applyFont="1" applyFill="1" applyBorder="1" applyAlignment="1" applyProtection="1">
      <alignment vertical="center"/>
    </xf>
    <xf numFmtId="0" fontId="7" fillId="9" borderId="5" xfId="1" applyFont="1" applyFill="1" applyBorder="1" applyAlignment="1" applyProtection="1">
      <alignment horizontal="left" vertical="top"/>
    </xf>
    <xf numFmtId="0" fontId="10" fillId="9" borderId="0" xfId="1" applyFont="1" applyFill="1" applyBorder="1" applyAlignment="1" applyProtection="1">
      <alignment horizontal="right" vertical="top"/>
    </xf>
    <xf numFmtId="0" fontId="7" fillId="9" borderId="0" xfId="1" applyNumberFormat="1" applyFont="1" applyFill="1" applyBorder="1" applyAlignment="1" applyProtection="1">
      <alignment vertical="center"/>
    </xf>
    <xf numFmtId="49" fontId="25" fillId="9" borderId="0" xfId="1" applyNumberFormat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horizontal="right" vertical="center" indent="1"/>
    </xf>
    <xf numFmtId="0" fontId="26" fillId="9" borderId="0" xfId="1" applyFont="1" applyFill="1" applyBorder="1" applyAlignment="1" applyProtection="1">
      <alignment vertical="center"/>
    </xf>
    <xf numFmtId="0" fontId="31" fillId="9" borderId="5" xfId="1" applyFont="1" applyFill="1" applyBorder="1" applyAlignment="1" applyProtection="1">
      <alignment vertical="center"/>
    </xf>
    <xf numFmtId="0" fontId="31" fillId="9" borderId="0" xfId="1" applyFont="1" applyFill="1" applyBorder="1" applyAlignment="1" applyProtection="1">
      <alignment vertical="center"/>
    </xf>
    <xf numFmtId="0" fontId="8" fillId="9" borderId="0" xfId="1" applyFont="1" applyFill="1" applyBorder="1" applyAlignment="1" applyProtection="1">
      <alignment horizontal="right" vertical="center" indent="1"/>
    </xf>
    <xf numFmtId="0" fontId="7" fillId="0" borderId="0" xfId="0" applyFont="1" applyFill="1" applyAlignment="1" applyProtection="1">
      <alignment vertical="center"/>
    </xf>
    <xf numFmtId="0" fontId="9" fillId="9" borderId="0" xfId="1" applyNumberFormat="1" applyFont="1" applyFill="1" applyBorder="1" applyAlignment="1" applyProtection="1">
      <alignment vertical="top" wrapText="1"/>
    </xf>
    <xf numFmtId="0" fontId="7" fillId="9" borderId="3" xfId="1" applyFont="1" applyFill="1" applyBorder="1" applyAlignment="1" applyProtection="1">
      <alignment vertical="center"/>
    </xf>
    <xf numFmtId="0" fontId="7" fillId="9" borderId="19" xfId="1" applyFont="1" applyFill="1" applyBorder="1" applyAlignment="1" applyProtection="1">
      <alignment vertical="center"/>
    </xf>
    <xf numFmtId="0" fontId="7" fillId="9" borderId="16" xfId="1" applyFont="1" applyFill="1" applyBorder="1" applyAlignment="1" applyProtection="1">
      <alignment vertical="center"/>
      <protection locked="0"/>
    </xf>
    <xf numFmtId="0" fontId="7" fillId="9" borderId="25" xfId="1" applyFont="1" applyFill="1" applyBorder="1" applyAlignment="1" applyProtection="1">
      <alignment vertical="center"/>
    </xf>
    <xf numFmtId="0" fontId="10" fillId="9" borderId="25" xfId="1" applyFont="1" applyFill="1" applyBorder="1" applyAlignment="1" applyProtection="1">
      <alignment horizontal="center" vertical="center"/>
    </xf>
    <xf numFmtId="0" fontId="7" fillId="9" borderId="25" xfId="1" applyFont="1" applyFill="1" applyBorder="1" applyAlignment="1" applyProtection="1">
      <alignment horizontal="left" vertical="top"/>
    </xf>
    <xf numFmtId="0" fontId="31" fillId="9" borderId="25" xfId="1" applyFont="1" applyFill="1" applyBorder="1" applyAlignment="1" applyProtection="1">
      <alignment vertical="center"/>
    </xf>
    <xf numFmtId="0" fontId="7" fillId="9" borderId="25" xfId="1" applyFont="1" applyFill="1" applyBorder="1" applyAlignment="1" applyProtection="1">
      <alignment vertical="center"/>
      <protection locked="0"/>
    </xf>
    <xf numFmtId="0" fontId="11" fillId="9" borderId="0" xfId="1" applyFont="1" applyFill="1" applyAlignment="1" applyProtection="1">
      <alignment horizontal="right" vertical="center" indent="1"/>
    </xf>
    <xf numFmtId="0" fontId="7" fillId="9" borderId="2" xfId="1" applyFont="1" applyFill="1" applyBorder="1" applyAlignment="1">
      <alignment vertical="center"/>
    </xf>
    <xf numFmtId="0" fontId="7" fillId="9" borderId="4" xfId="1" applyFont="1" applyFill="1" applyBorder="1" applyAlignment="1">
      <alignment vertical="center"/>
    </xf>
    <xf numFmtId="0" fontId="9" fillId="9" borderId="0" xfId="1" applyFont="1" applyFill="1"/>
    <xf numFmtId="0" fontId="7" fillId="9" borderId="5" xfId="1" applyFont="1" applyFill="1" applyBorder="1" applyAlignment="1">
      <alignment vertical="center"/>
    </xf>
    <xf numFmtId="0" fontId="10" fillId="9" borderId="0" xfId="1" applyFont="1" applyFill="1" applyBorder="1" applyAlignment="1">
      <alignment horizontal="center" vertical="center"/>
    </xf>
    <xf numFmtId="0" fontId="7" fillId="9" borderId="0" xfId="1" applyFont="1" applyFill="1" applyBorder="1" applyAlignment="1">
      <alignment vertical="center"/>
    </xf>
    <xf numFmtId="0" fontId="7" fillId="9" borderId="6" xfId="1" applyFont="1" applyFill="1" applyBorder="1" applyAlignment="1">
      <alignment vertical="center"/>
    </xf>
    <xf numFmtId="0" fontId="7" fillId="9" borderId="10" xfId="1" applyFont="1" applyFill="1" applyBorder="1" applyAlignment="1">
      <alignment vertical="center"/>
    </xf>
    <xf numFmtId="0" fontId="7" fillId="9" borderId="11" xfId="1" applyFont="1" applyFill="1" applyBorder="1" applyAlignment="1">
      <alignment vertical="center"/>
    </xf>
    <xf numFmtId="0" fontId="7" fillId="9" borderId="11" xfId="1" applyFont="1" applyFill="1" applyBorder="1" applyAlignment="1">
      <alignment horizontal="left" vertical="center" indent="1"/>
    </xf>
    <xf numFmtId="0" fontId="7" fillId="9" borderId="12" xfId="1" applyFont="1" applyFill="1" applyBorder="1" applyAlignment="1">
      <alignment vertical="center"/>
    </xf>
    <xf numFmtId="0" fontId="10" fillId="9" borderId="0" xfId="1" applyFont="1" applyFill="1" applyAlignment="1" applyProtection="1">
      <alignment horizontal="right" vertical="center" indent="1"/>
    </xf>
    <xf numFmtId="0" fontId="9" fillId="9" borderId="5" xfId="1" applyFont="1" applyFill="1" applyBorder="1"/>
    <xf numFmtId="0" fontId="9" fillId="9" borderId="0" xfId="1" applyFont="1" applyFill="1" applyBorder="1"/>
    <xf numFmtId="0" fontId="9" fillId="9" borderId="6" xfId="1" applyFont="1" applyFill="1" applyBorder="1"/>
    <xf numFmtId="0" fontId="11" fillId="9" borderId="0" xfId="1" applyFont="1" applyFill="1" applyBorder="1" applyAlignment="1">
      <alignment horizontal="right" indent="1"/>
    </xf>
    <xf numFmtId="0" fontId="9" fillId="9" borderId="10" xfId="1" applyFont="1" applyFill="1" applyBorder="1"/>
    <xf numFmtId="0" fontId="9" fillId="9" borderId="11" xfId="1" applyFont="1" applyFill="1" applyBorder="1"/>
    <xf numFmtId="0" fontId="9" fillId="9" borderId="12" xfId="1" applyFont="1" applyFill="1" applyBorder="1"/>
    <xf numFmtId="0" fontId="11" fillId="9" borderId="0" xfId="1" applyFont="1" applyFill="1" applyBorder="1" applyAlignment="1"/>
    <xf numFmtId="0" fontId="11" fillId="9" borderId="0" xfId="1" applyFont="1" applyFill="1" applyBorder="1" applyAlignment="1">
      <alignment horizontal="center"/>
    </xf>
    <xf numFmtId="0" fontId="0" fillId="9" borderId="0" xfId="1" applyFont="1" applyFill="1"/>
    <xf numFmtId="0" fontId="10" fillId="9" borderId="0" xfId="1" applyFont="1" applyFill="1" applyBorder="1" applyAlignment="1" applyProtection="1">
      <alignment horizontal="center" vertical="center"/>
    </xf>
    <xf numFmtId="0" fontId="7" fillId="9" borderId="0" xfId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vertical="center"/>
    </xf>
    <xf numFmtId="0" fontId="10" fillId="9" borderId="0" xfId="1" applyFont="1" applyFill="1" applyBorder="1" applyAlignment="1" applyProtection="1">
      <alignment horizontal="right" vertical="top" wrapText="1" indent="1"/>
    </xf>
    <xf numFmtId="49" fontId="10" fillId="9" borderId="0" xfId="1" applyNumberFormat="1" applyFont="1" applyFill="1" applyBorder="1" applyAlignment="1" applyProtection="1">
      <alignment vertical="center"/>
    </xf>
    <xf numFmtId="4" fontId="7" fillId="9" borderId="0" xfId="1" applyNumberFormat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vertical="center"/>
    </xf>
    <xf numFmtId="0" fontId="31" fillId="9" borderId="17" xfId="1" applyFont="1" applyFill="1" applyBorder="1" applyAlignment="1" applyProtection="1">
      <alignment vertical="center"/>
    </xf>
    <xf numFmtId="0" fontId="7" fillId="0" borderId="22" xfId="1" applyFont="1" applyFill="1" applyBorder="1" applyAlignment="1" applyProtection="1">
      <alignment vertical="center"/>
    </xf>
    <xf numFmtId="0" fontId="7" fillId="9" borderId="17" xfId="1" applyFont="1" applyFill="1" applyBorder="1" applyAlignment="1" applyProtection="1">
      <alignment vertical="center"/>
    </xf>
    <xf numFmtId="0" fontId="7" fillId="9" borderId="26" xfId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vertical="center"/>
    </xf>
    <xf numFmtId="167" fontId="3" fillId="8" borderId="1" xfId="5" applyFont="1" applyFill="1" applyBorder="1" applyProtection="1"/>
    <xf numFmtId="167" fontId="3" fillId="7" borderId="1" xfId="5" applyFont="1" applyFill="1" applyBorder="1" applyProtection="1"/>
    <xf numFmtId="168" fontId="7" fillId="20" borderId="1" xfId="1" applyNumberFormat="1" applyFont="1" applyFill="1" applyBorder="1" applyAlignment="1" applyProtection="1">
      <alignment horizontal="center" vertical="center"/>
      <protection locked="0"/>
    </xf>
    <xf numFmtId="0" fontId="5" fillId="9" borderId="0" xfId="4" applyFont="1" applyFill="1" applyProtection="1"/>
    <xf numFmtId="0" fontId="7" fillId="9" borderId="0" xfId="4" applyFont="1" applyFill="1" applyProtection="1"/>
    <xf numFmtId="0" fontId="16" fillId="23" borderId="0" xfId="4" applyFont="1" applyFill="1" applyBorder="1" applyProtection="1"/>
    <xf numFmtId="168" fontId="3" fillId="24" borderId="1" xfId="4" applyNumberFormat="1" applyFont="1" applyFill="1" applyBorder="1" applyAlignment="1" applyProtection="1">
      <alignment horizontal="center"/>
      <protection locked="0"/>
    </xf>
    <xf numFmtId="168" fontId="19" fillId="24" borderId="1" xfId="4" applyNumberFormat="1" applyFont="1" applyFill="1" applyBorder="1" applyAlignment="1" applyProtection="1">
      <alignment horizontal="center"/>
      <protection locked="0"/>
    </xf>
    <xf numFmtId="0" fontId="7" fillId="9" borderId="0" xfId="1" applyFont="1" applyFill="1" applyBorder="1" applyAlignment="1" applyProtection="1">
      <alignment vertical="center"/>
    </xf>
    <xf numFmtId="0" fontId="32" fillId="9" borderId="17" xfId="4" applyFont="1" applyFill="1" applyBorder="1" applyAlignment="1" applyProtection="1">
      <alignment horizontal="center" vertical="center"/>
    </xf>
    <xf numFmtId="0" fontId="16" fillId="8" borderId="0" xfId="4" applyFont="1" applyFill="1" applyBorder="1" applyProtection="1"/>
    <xf numFmtId="0" fontId="16" fillId="7" borderId="0" xfId="4" applyFont="1" applyFill="1" applyBorder="1" applyProtection="1"/>
    <xf numFmtId="0" fontId="20" fillId="21" borderId="7" xfId="4" applyFont="1" applyFill="1" applyBorder="1" applyAlignment="1" applyProtection="1">
      <alignment horizontal="center" vertical="center"/>
    </xf>
    <xf numFmtId="0" fontId="20" fillId="21" borderId="9" xfId="4" applyFont="1" applyFill="1" applyBorder="1" applyAlignment="1" applyProtection="1">
      <alignment horizontal="center" vertical="center"/>
    </xf>
    <xf numFmtId="0" fontId="16" fillId="8" borderId="14" xfId="4" applyFont="1" applyFill="1" applyBorder="1" applyProtection="1"/>
    <xf numFmtId="0" fontId="15" fillId="8" borderId="13" xfId="4" applyFont="1" applyFill="1" applyBorder="1" applyProtection="1"/>
    <xf numFmtId="0" fontId="15" fillId="8" borderId="15" xfId="4" applyFont="1" applyFill="1" applyBorder="1" applyProtection="1"/>
    <xf numFmtId="0" fontId="20" fillId="21" borderId="8" xfId="4" applyFont="1" applyFill="1" applyBorder="1" applyAlignment="1" applyProtection="1">
      <alignment horizontal="center" vertical="center"/>
    </xf>
    <xf numFmtId="0" fontId="17" fillId="23" borderId="0" xfId="4" applyFont="1" applyFill="1" applyProtection="1"/>
    <xf numFmtId="0" fontId="17" fillId="23" borderId="17" xfId="4" applyFont="1" applyFill="1" applyBorder="1" applyProtection="1"/>
    <xf numFmtId="0" fontId="12" fillId="6" borderId="0" xfId="4" applyFont="1" applyFill="1" applyBorder="1" applyProtection="1"/>
    <xf numFmtId="0" fontId="13" fillId="6" borderId="0" xfId="4" applyFont="1" applyFill="1" applyBorder="1" applyAlignment="1" applyProtection="1">
      <alignment vertical="center"/>
    </xf>
    <xf numFmtId="0" fontId="14" fillId="6" borderId="23" xfId="4" applyFont="1" applyFill="1" applyBorder="1" applyAlignment="1" applyProtection="1">
      <alignment horizontal="right" vertical="center"/>
    </xf>
    <xf numFmtId="0" fontId="2" fillId="8" borderId="25" xfId="4" applyFont="1" applyFill="1" applyBorder="1" applyProtection="1"/>
    <xf numFmtId="0" fontId="32" fillId="9" borderId="0" xfId="4" applyFont="1" applyFill="1" applyBorder="1" applyAlignment="1" applyProtection="1">
      <alignment horizontal="center" vertical="center"/>
    </xf>
    <xf numFmtId="0" fontId="3" fillId="8" borderId="25" xfId="4" applyFont="1" applyFill="1" applyBorder="1" applyProtection="1"/>
    <xf numFmtId="0" fontId="17" fillId="8" borderId="21" xfId="4" applyFont="1" applyFill="1" applyBorder="1" applyProtection="1"/>
    <xf numFmtId="0" fontId="32" fillId="9" borderId="22" xfId="4" applyFont="1" applyFill="1" applyBorder="1" applyAlignment="1" applyProtection="1">
      <alignment horizontal="center" vertical="center"/>
    </xf>
    <xf numFmtId="0" fontId="17" fillId="8" borderId="25" xfId="4" applyFont="1" applyFill="1" applyBorder="1" applyProtection="1"/>
    <xf numFmtId="0" fontId="32" fillId="9" borderId="23" xfId="4" applyFont="1" applyFill="1" applyBorder="1" applyAlignment="1" applyProtection="1">
      <alignment horizontal="center" vertical="center"/>
    </xf>
    <xf numFmtId="0" fontId="32" fillId="9" borderId="25" xfId="4" applyFont="1" applyFill="1" applyBorder="1" applyAlignment="1" applyProtection="1">
      <alignment horizontal="center" vertical="center"/>
    </xf>
    <xf numFmtId="0" fontId="18" fillId="8" borderId="25" xfId="4" applyFont="1" applyFill="1" applyBorder="1" applyProtection="1"/>
    <xf numFmtId="0" fontId="16" fillId="8" borderId="23" xfId="4" applyFont="1" applyFill="1" applyBorder="1" applyProtection="1"/>
    <xf numFmtId="0" fontId="16" fillId="7" borderId="25" xfId="4" applyFont="1" applyFill="1" applyBorder="1" applyAlignment="1" applyProtection="1">
      <alignment horizontal="left" indent="1"/>
    </xf>
    <xf numFmtId="0" fontId="15" fillId="8" borderId="0" xfId="4" applyFont="1" applyFill="1" applyBorder="1" applyAlignment="1" applyProtection="1">
      <alignment horizontal="right"/>
    </xf>
    <xf numFmtId="0" fontId="16" fillId="8" borderId="0" xfId="4" applyFont="1" applyFill="1" applyBorder="1" applyAlignment="1" applyProtection="1">
      <alignment horizontal="left"/>
    </xf>
    <xf numFmtId="0" fontId="16" fillId="8" borderId="0" xfId="4" applyFont="1" applyFill="1" applyBorder="1" applyAlignment="1" applyProtection="1">
      <alignment horizontal="right"/>
    </xf>
    <xf numFmtId="0" fontId="16" fillId="7" borderId="23" xfId="4" applyFont="1" applyFill="1" applyBorder="1" applyProtection="1"/>
    <xf numFmtId="0" fontId="16" fillId="8" borderId="25" xfId="4" applyFont="1" applyFill="1" applyBorder="1" applyAlignment="1" applyProtection="1">
      <alignment horizontal="left" indent="1"/>
    </xf>
    <xf numFmtId="0" fontId="15" fillId="8" borderId="0" xfId="4" applyFont="1" applyFill="1" applyBorder="1" applyAlignment="1" applyProtection="1">
      <alignment horizontal="right" indent="1"/>
    </xf>
    <xf numFmtId="0" fontId="10" fillId="3" borderId="25" xfId="4" applyFont="1" applyFill="1" applyBorder="1" applyAlignment="1" applyProtection="1">
      <alignment horizontal="left" vertical="center" indent="1"/>
    </xf>
    <xf numFmtId="0" fontId="16" fillId="8" borderId="25" xfId="4" applyFont="1" applyFill="1" applyBorder="1" applyProtection="1"/>
    <xf numFmtId="167" fontId="15" fillId="8" borderId="33" xfId="5" applyFont="1" applyFill="1" applyBorder="1" applyProtection="1"/>
    <xf numFmtId="0" fontId="16" fillId="8" borderId="35" xfId="4" applyFont="1" applyFill="1" applyBorder="1" applyProtection="1"/>
    <xf numFmtId="167" fontId="15" fillId="8" borderId="34" xfId="5" applyNumberFormat="1" applyFont="1" applyFill="1" applyBorder="1" applyProtection="1"/>
    <xf numFmtId="0" fontId="15" fillId="8" borderId="25" xfId="4" applyFont="1" applyFill="1" applyBorder="1" applyProtection="1"/>
    <xf numFmtId="0" fontId="15" fillId="8" borderId="0" xfId="4" applyFont="1" applyFill="1" applyBorder="1" applyProtection="1"/>
    <xf numFmtId="0" fontId="16" fillId="7" borderId="25" xfId="4" applyFont="1" applyFill="1" applyBorder="1" applyAlignment="1" applyProtection="1"/>
    <xf numFmtId="0" fontId="16" fillId="8" borderId="23" xfId="4" applyFont="1" applyFill="1" applyBorder="1" applyAlignment="1" applyProtection="1">
      <alignment horizontal="center"/>
    </xf>
    <xf numFmtId="0" fontId="6" fillId="0" borderId="25" xfId="3" applyBorder="1" applyAlignment="1" applyProtection="1"/>
    <xf numFmtId="0" fontId="22" fillId="8" borderId="21" xfId="4" applyFont="1" applyFill="1" applyBorder="1" applyAlignment="1" applyProtection="1">
      <alignment horizontal="centerContinuous"/>
    </xf>
    <xf numFmtId="0" fontId="17" fillId="8" borderId="17" xfId="4" applyFont="1" applyFill="1" applyBorder="1" applyAlignment="1" applyProtection="1">
      <alignment horizontal="centerContinuous"/>
    </xf>
    <xf numFmtId="0" fontId="17" fillId="8" borderId="22" xfId="4" applyFont="1" applyFill="1" applyBorder="1" applyAlignment="1" applyProtection="1">
      <alignment horizontal="centerContinuous"/>
    </xf>
    <xf numFmtId="0" fontId="5" fillId="9" borderId="0" xfId="4" applyFont="1" applyFill="1" applyBorder="1" applyProtection="1"/>
    <xf numFmtId="49" fontId="7" fillId="20" borderId="28" xfId="1" applyNumberFormat="1" applyFont="1" applyFill="1" applyBorder="1" applyAlignment="1" applyProtection="1">
      <alignment horizontal="center" vertical="center"/>
      <protection locked="0"/>
    </xf>
    <xf numFmtId="49" fontId="7" fillId="20" borderId="1" xfId="1" applyNumberFormat="1" applyFont="1" applyFill="1" applyBorder="1" applyAlignment="1" applyProtection="1">
      <alignment horizontal="center" vertical="center"/>
      <protection locked="0"/>
    </xf>
    <xf numFmtId="0" fontId="7" fillId="9" borderId="0" xfId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vertical="center"/>
    </xf>
    <xf numFmtId="0" fontId="52" fillId="0" borderId="0" xfId="0" applyFont="1" applyFill="1"/>
    <xf numFmtId="0" fontId="52" fillId="0" borderId="0" xfId="0" applyFont="1" applyFill="1" applyAlignment="1">
      <alignment horizontal="left"/>
    </xf>
    <xf numFmtId="0" fontId="52" fillId="0" borderId="0" xfId="0" applyFont="1" applyFill="1" applyBorder="1" applyAlignment="1">
      <alignment horizontal="left"/>
    </xf>
    <xf numFmtId="0" fontId="52" fillId="0" borderId="0" xfId="0" applyFont="1" applyFill="1" applyBorder="1" applyAlignment="1" applyProtection="1">
      <alignment horizontal="left"/>
      <protection locked="0"/>
    </xf>
    <xf numFmtId="14" fontId="7" fillId="9" borderId="0" xfId="1" applyNumberFormat="1" applyFont="1" applyFill="1" applyBorder="1" applyAlignment="1" applyProtection="1">
      <alignment horizontal="center" vertical="center"/>
    </xf>
    <xf numFmtId="0" fontId="7" fillId="9" borderId="0" xfId="1" applyFont="1" applyFill="1" applyBorder="1" applyAlignment="1" applyProtection="1">
      <alignment vertical="center"/>
    </xf>
    <xf numFmtId="0" fontId="9" fillId="9" borderId="11" xfId="1" applyFont="1" applyFill="1" applyBorder="1"/>
    <xf numFmtId="0" fontId="23" fillId="9" borderId="0" xfId="1" applyFont="1" applyFill="1" applyBorder="1"/>
    <xf numFmtId="0" fontId="23" fillId="20" borderId="1" xfId="6" applyNumberFormat="1" applyFont="1" applyFill="1" applyBorder="1" applyAlignment="1" applyProtection="1">
      <alignment horizontal="center"/>
      <protection locked="0"/>
    </xf>
    <xf numFmtId="0" fontId="23" fillId="9" borderId="6" xfId="1" applyFont="1" applyFill="1" applyBorder="1"/>
    <xf numFmtId="0" fontId="23" fillId="9" borderId="0" xfId="1" applyFont="1" applyFill="1"/>
    <xf numFmtId="0" fontId="23" fillId="9" borderId="0" xfId="1" applyFont="1" applyFill="1" applyBorder="1" applyAlignment="1" applyProtection="1">
      <alignment horizontal="left"/>
    </xf>
    <xf numFmtId="0" fontId="23" fillId="9" borderId="0" xfId="1" applyFont="1" applyFill="1" applyBorder="1" applyAlignment="1"/>
    <xf numFmtId="0" fontId="23" fillId="9" borderId="0" xfId="1" applyFont="1" applyFill="1" applyBorder="1" applyAlignment="1" applyProtection="1">
      <alignment horizontal="center"/>
    </xf>
    <xf numFmtId="0" fontId="32" fillId="9" borderId="0" xfId="4" applyFont="1" applyFill="1" applyBorder="1" applyAlignment="1" applyProtection="1">
      <alignment horizontal="center"/>
    </xf>
    <xf numFmtId="0" fontId="9" fillId="9" borderId="0" xfId="1" applyFont="1" applyFill="1" applyAlignment="1">
      <alignment horizontal="right"/>
    </xf>
    <xf numFmtId="0" fontId="10" fillId="19" borderId="1" xfId="1" applyNumberFormat="1" applyFont="1" applyFill="1" applyBorder="1" applyAlignment="1" applyProtection="1">
      <alignment vertical="center"/>
    </xf>
    <xf numFmtId="0" fontId="52" fillId="0" borderId="0" xfId="0" applyFont="1" applyFill="1" applyAlignment="1" applyProtection="1">
      <alignment horizontal="left"/>
      <protection locked="0"/>
    </xf>
    <xf numFmtId="0" fontId="52" fillId="0" borderId="0" xfId="0" applyNumberFormat="1" applyFont="1" applyFill="1" applyAlignment="1" applyProtection="1">
      <alignment horizontal="left"/>
      <protection locked="0"/>
    </xf>
    <xf numFmtId="0" fontId="51" fillId="0" borderId="27" xfId="0" applyFont="1" applyFill="1" applyBorder="1" applyAlignment="1">
      <alignment horizontal="left"/>
    </xf>
    <xf numFmtId="0" fontId="51" fillId="0" borderId="27" xfId="0" applyFont="1" applyFill="1" applyBorder="1" applyAlignment="1" applyProtection="1">
      <alignment horizontal="left"/>
      <protection locked="0"/>
    </xf>
    <xf numFmtId="0" fontId="51" fillId="0" borderId="36" xfId="0" applyFont="1" applyFill="1" applyBorder="1" applyAlignment="1">
      <alignment horizontal="left"/>
    </xf>
    <xf numFmtId="0" fontId="52" fillId="0" borderId="0" xfId="0" applyFont="1" applyFill="1" applyBorder="1"/>
    <xf numFmtId="0" fontId="52" fillId="0" borderId="27" xfId="0" applyFont="1" applyFill="1" applyBorder="1" applyAlignment="1">
      <alignment horizontal="left"/>
    </xf>
    <xf numFmtId="0" fontId="52" fillId="0" borderId="36" xfId="0" applyFont="1" applyFill="1" applyBorder="1"/>
    <xf numFmtId="0" fontId="52" fillId="0" borderId="36" xfId="0" applyFont="1" applyFill="1" applyBorder="1" applyAlignment="1">
      <alignment horizontal="left"/>
    </xf>
    <xf numFmtId="0" fontId="52" fillId="0" borderId="0" xfId="0" applyNumberFormat="1" applyFont="1" applyFill="1" applyBorder="1" applyAlignment="1" applyProtection="1">
      <alignment horizontal="left"/>
      <protection locked="0"/>
    </xf>
    <xf numFmtId="169" fontId="52" fillId="0" borderId="0" xfId="0" applyNumberFormat="1" applyFont="1" applyFill="1" applyAlignment="1">
      <alignment horizontal="left"/>
    </xf>
    <xf numFmtId="0" fontId="52" fillId="0" borderId="0" xfId="7" applyFont="1" applyFill="1" applyBorder="1" applyAlignment="1">
      <alignment horizontal="left"/>
    </xf>
    <xf numFmtId="0" fontId="19" fillId="24" borderId="1" xfId="4" applyNumberFormat="1" applyFont="1" applyFill="1" applyBorder="1" applyAlignment="1" applyProtection="1">
      <alignment horizontal="center"/>
      <protection locked="0"/>
    </xf>
    <xf numFmtId="14" fontId="52" fillId="0" borderId="0" xfId="0" applyNumberFormat="1" applyFont="1" applyFill="1" applyAlignment="1" applyProtection="1">
      <alignment horizontal="left"/>
      <protection locked="0"/>
    </xf>
    <xf numFmtId="0" fontId="51" fillId="0" borderId="0" xfId="0" applyFont="1" applyFill="1" applyAlignment="1">
      <alignment horizontal="left"/>
    </xf>
    <xf numFmtId="0" fontId="7" fillId="9" borderId="0" xfId="1" applyFont="1" applyFill="1" applyBorder="1" applyAlignment="1" applyProtection="1">
      <alignment vertical="center"/>
    </xf>
    <xf numFmtId="0" fontId="7" fillId="0" borderId="0" xfId="1" applyFont="1" applyFill="1" applyBorder="1" applyAlignment="1" applyProtection="1">
      <alignment vertical="center"/>
    </xf>
    <xf numFmtId="0" fontId="7" fillId="19" borderId="1" xfId="1" applyNumberFormat="1" applyFont="1" applyFill="1" applyBorder="1" applyAlignment="1" applyProtection="1">
      <alignment vertical="center"/>
    </xf>
    <xf numFmtId="167" fontId="15" fillId="8" borderId="37" xfId="5" applyNumberFormat="1" applyFont="1" applyFill="1" applyBorder="1" applyProtection="1"/>
    <xf numFmtId="167" fontId="15" fillId="8" borderId="20" xfId="5" applyNumberFormat="1" applyFont="1" applyFill="1" applyBorder="1" applyProtection="1"/>
    <xf numFmtId="0" fontId="15" fillId="8" borderId="1" xfId="4" applyFont="1" applyFill="1" applyBorder="1" applyProtection="1"/>
    <xf numFmtId="0" fontId="7" fillId="9" borderId="0" xfId="1" applyFont="1" applyFill="1" applyBorder="1" applyAlignment="1" applyProtection="1">
      <alignment vertical="center"/>
    </xf>
    <xf numFmtId="174" fontId="52" fillId="0" borderId="0" xfId="0" applyNumberFormat="1" applyFont="1" applyFill="1" applyAlignment="1" applyProtection="1">
      <alignment horizontal="left"/>
      <protection locked="0"/>
    </xf>
    <xf numFmtId="0" fontId="56" fillId="33" borderId="0" xfId="48" applyAlignment="1" applyProtection="1">
      <alignment horizontal="left"/>
      <protection locked="0"/>
    </xf>
    <xf numFmtId="2" fontId="52" fillId="0" borderId="0" xfId="0" applyNumberFormat="1" applyFont="1" applyFill="1" applyAlignment="1" applyProtection="1">
      <alignment horizontal="left"/>
      <protection locked="0"/>
    </xf>
    <xf numFmtId="0" fontId="58" fillId="34" borderId="39" xfId="49" applyFont="1" applyFill="1" applyBorder="1" applyAlignment="1">
      <alignment horizontal="center"/>
    </xf>
    <xf numFmtId="0" fontId="10" fillId="9" borderId="0" xfId="1" applyNumberFormat="1" applyFont="1" applyFill="1" applyBorder="1" applyAlignment="1" applyProtection="1">
      <alignment horizontal="left" vertical="top"/>
      <protection locked="0"/>
    </xf>
    <xf numFmtId="0" fontId="52" fillId="0" borderId="0" xfId="0" applyFont="1" applyFill="1" applyBorder="1" applyProtection="1"/>
    <xf numFmtId="0" fontId="52" fillId="0" borderId="0" xfId="0" applyFont="1" applyFill="1" applyAlignment="1" applyProtection="1">
      <alignment horizontal="left"/>
    </xf>
    <xf numFmtId="0" fontId="52" fillId="0" borderId="0" xfId="0" applyFont="1" applyFill="1" applyBorder="1" applyAlignment="1" applyProtection="1">
      <alignment horizontal="left"/>
    </xf>
    <xf numFmtId="0" fontId="7" fillId="9" borderId="0" xfId="1" applyFont="1" applyFill="1" applyBorder="1" applyAlignment="1" applyProtection="1">
      <alignment vertical="center"/>
    </xf>
    <xf numFmtId="0" fontId="10" fillId="9" borderId="0" xfId="1" applyFont="1" applyFill="1" applyBorder="1" applyAlignment="1" applyProtection="1">
      <alignment vertical="top" wrapText="1"/>
    </xf>
    <xf numFmtId="0" fontId="7" fillId="9" borderId="0" xfId="1" applyFont="1" applyFill="1" applyBorder="1" applyAlignment="1" applyProtection="1">
      <alignment vertical="center"/>
    </xf>
    <xf numFmtId="0" fontId="58" fillId="0" borderId="38" xfId="50" applyFont="1" applyFill="1" applyBorder="1" applyAlignment="1">
      <alignment wrapText="1"/>
    </xf>
    <xf numFmtId="0" fontId="59" fillId="0" borderId="0" xfId="0" applyFont="1" applyAlignment="1">
      <alignment vertical="top"/>
    </xf>
    <xf numFmtId="0" fontId="0" fillId="35" borderId="1" xfId="0" applyFill="1" applyBorder="1" applyAlignment="1">
      <alignment vertical="top" wrapText="1"/>
    </xf>
    <xf numFmtId="0" fontId="58" fillId="34" borderId="39" xfId="51" applyFont="1" applyFill="1" applyBorder="1" applyAlignment="1">
      <alignment horizontal="center"/>
    </xf>
    <xf numFmtId="0" fontId="58" fillId="0" borderId="38" xfId="51" applyFont="1" applyFill="1" applyBorder="1" applyAlignment="1">
      <alignment wrapText="1"/>
    </xf>
    <xf numFmtId="0" fontId="61" fillId="0" borderId="38" xfId="52" applyFont="1" applyFill="1" applyBorder="1" applyAlignment="1">
      <alignment wrapText="1"/>
    </xf>
    <xf numFmtId="0" fontId="7" fillId="9" borderId="0" xfId="1" applyFont="1" applyFill="1" applyBorder="1" applyAlignment="1" applyProtection="1">
      <alignment horizontal="left" vertical="top" wrapText="1"/>
    </xf>
    <xf numFmtId="0" fontId="7" fillId="9" borderId="0" xfId="1" applyFont="1" applyFill="1" applyBorder="1" applyAlignment="1" applyProtection="1">
      <alignment vertical="center"/>
    </xf>
    <xf numFmtId="0" fontId="63" fillId="36" borderId="27" xfId="1" applyNumberFormat="1" applyFont="1" applyFill="1" applyBorder="1" applyAlignment="1"/>
    <xf numFmtId="0" fontId="63" fillId="36" borderId="0" xfId="1" applyNumberFormat="1" applyFont="1" applyFill="1" applyBorder="1" applyAlignment="1"/>
    <xf numFmtId="0" fontId="7" fillId="9" borderId="0" xfId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vertical="center"/>
    </xf>
    <xf numFmtId="0" fontId="7" fillId="20" borderId="1" xfId="1" applyFont="1" applyFill="1" applyBorder="1" applyAlignment="1" applyProtection="1">
      <alignment vertical="center"/>
      <protection locked="0"/>
    </xf>
    <xf numFmtId="49" fontId="7" fillId="0" borderId="0" xfId="1" applyNumberFormat="1" applyFont="1" applyFill="1" applyBorder="1" applyAlignment="1" applyProtection="1">
      <alignment vertical="center"/>
    </xf>
    <xf numFmtId="49" fontId="7" fillId="9" borderId="0" xfId="1" applyNumberFormat="1" applyFont="1" applyFill="1" applyBorder="1" applyAlignment="1" applyProtection="1">
      <alignment vertical="center"/>
    </xf>
    <xf numFmtId="0" fontId="7" fillId="9" borderId="0" xfId="1" applyFont="1" applyFill="1" applyBorder="1" applyAlignment="1" applyProtection="1">
      <alignment vertical="center"/>
    </xf>
    <xf numFmtId="49" fontId="7" fillId="9" borderId="0" xfId="1" applyNumberFormat="1" applyFont="1" applyFill="1" applyBorder="1" applyAlignment="1" applyProtection="1">
      <alignment vertical="center"/>
    </xf>
    <xf numFmtId="0" fontId="10" fillId="0" borderId="0" xfId="1" applyFont="1" applyFill="1" applyAlignment="1" applyProtection="1">
      <alignment horizontal="right" vertical="center"/>
      <protection locked="0"/>
    </xf>
    <xf numFmtId="11" fontId="0" fillId="0" borderId="0" xfId="0" applyNumberFormat="1"/>
    <xf numFmtId="0" fontId="7" fillId="9" borderId="0" xfId="1" applyFont="1" applyFill="1" applyBorder="1" applyAlignment="1" applyProtection="1">
      <alignment vertical="center"/>
    </xf>
    <xf numFmtId="0" fontId="62" fillId="0" borderId="0" xfId="0" applyFont="1" applyBorder="1"/>
    <xf numFmtId="0" fontId="0" fillId="0" borderId="0" xfId="0"/>
    <xf numFmtId="0" fontId="2" fillId="0" borderId="0" xfId="1" applyFont="1" applyBorder="1"/>
    <xf numFmtId="168" fontId="7" fillId="20" borderId="7" xfId="1" applyNumberFormat="1" applyFont="1" applyFill="1" applyBorder="1" applyAlignment="1" applyProtection="1">
      <alignment horizontal="center" vertical="center"/>
      <protection locked="0"/>
    </xf>
    <xf numFmtId="168" fontId="7" fillId="20" borderId="8" xfId="1" applyNumberFormat="1" applyFont="1" applyFill="1" applyBorder="1" applyAlignment="1" applyProtection="1">
      <alignment horizontal="center" vertical="center"/>
      <protection locked="0"/>
    </xf>
    <xf numFmtId="168" fontId="7" fillId="20" borderId="9" xfId="1" applyNumberFormat="1" applyFont="1" applyFill="1" applyBorder="1" applyAlignment="1" applyProtection="1">
      <alignment horizontal="center" vertical="center"/>
      <protection locked="0"/>
    </xf>
    <xf numFmtId="168" fontId="7" fillId="19" borderId="7" xfId="1" applyNumberFormat="1" applyFont="1" applyFill="1" applyBorder="1" applyAlignment="1" applyProtection="1">
      <alignment horizontal="center" vertical="center"/>
    </xf>
    <xf numFmtId="168" fontId="7" fillId="19" borderId="8" xfId="1" applyNumberFormat="1" applyFont="1" applyFill="1" applyBorder="1" applyAlignment="1" applyProtection="1">
      <alignment horizontal="center" vertical="center"/>
    </xf>
    <xf numFmtId="168" fontId="7" fillId="19" borderId="9" xfId="1" applyNumberFormat="1" applyFont="1" applyFill="1" applyBorder="1" applyAlignment="1" applyProtection="1">
      <alignment horizontal="center" vertical="center"/>
    </xf>
    <xf numFmtId="0" fontId="7" fillId="20" borderId="7" xfId="1" applyFont="1" applyFill="1" applyBorder="1" applyAlignment="1" applyProtection="1">
      <alignment vertical="center"/>
      <protection locked="0"/>
    </xf>
    <xf numFmtId="0" fontId="7" fillId="20" borderId="8" xfId="1" applyFont="1" applyFill="1" applyBorder="1" applyAlignment="1" applyProtection="1">
      <alignment vertical="center"/>
      <protection locked="0"/>
    </xf>
    <xf numFmtId="0" fontId="7" fillId="20" borderId="9" xfId="1" applyFont="1" applyFill="1" applyBorder="1" applyAlignment="1" applyProtection="1">
      <alignment vertical="center"/>
      <protection locked="0"/>
    </xf>
    <xf numFmtId="0" fontId="10" fillId="9" borderId="0" xfId="1" applyFont="1" applyFill="1" applyBorder="1" applyAlignment="1" applyProtection="1">
      <alignment horizontal="center" vertical="center"/>
    </xf>
    <xf numFmtId="14" fontId="7" fillId="9" borderId="0" xfId="1" applyNumberFormat="1" applyFont="1" applyFill="1" applyBorder="1" applyAlignment="1" applyProtection="1">
      <alignment horizontal="center" vertical="center"/>
    </xf>
    <xf numFmtId="4" fontId="7" fillId="9" borderId="0" xfId="1" applyNumberFormat="1" applyFont="1" applyFill="1" applyBorder="1" applyAlignment="1" applyProtection="1">
      <alignment vertical="center"/>
    </xf>
    <xf numFmtId="168" fontId="7" fillId="20" borderId="7" xfId="1" applyNumberFormat="1" applyFont="1" applyFill="1" applyBorder="1" applyAlignment="1" applyProtection="1">
      <alignment vertical="center"/>
      <protection locked="0"/>
    </xf>
    <xf numFmtId="168" fontId="7" fillId="20" borderId="8" xfId="1" applyNumberFormat="1" applyFont="1" applyFill="1" applyBorder="1" applyAlignment="1" applyProtection="1">
      <alignment vertical="center"/>
      <protection locked="0"/>
    </xf>
    <xf numFmtId="168" fontId="7" fillId="20" borderId="9" xfId="1" applyNumberFormat="1" applyFont="1" applyFill="1" applyBorder="1" applyAlignment="1" applyProtection="1">
      <alignment vertical="center"/>
      <protection locked="0"/>
    </xf>
    <xf numFmtId="0" fontId="11" fillId="9" borderId="0" xfId="1" applyFont="1" applyFill="1" applyBorder="1" applyAlignment="1" applyProtection="1">
      <alignment horizontal="right" vertical="center"/>
    </xf>
    <xf numFmtId="49" fontId="7" fillId="20" borderId="7" xfId="1" applyNumberFormat="1" applyFont="1" applyFill="1" applyBorder="1" applyAlignment="1" applyProtection="1">
      <alignment vertical="center"/>
      <protection locked="0"/>
    </xf>
    <xf numFmtId="49" fontId="7" fillId="20" borderId="8" xfId="1" applyNumberFormat="1" applyFont="1" applyFill="1" applyBorder="1" applyAlignment="1" applyProtection="1">
      <alignment vertical="center"/>
      <protection locked="0"/>
    </xf>
    <xf numFmtId="49" fontId="7" fillId="20" borderId="9" xfId="1" applyNumberFormat="1" applyFont="1" applyFill="1" applyBorder="1" applyAlignment="1" applyProtection="1">
      <alignment vertical="center"/>
      <protection locked="0"/>
    </xf>
    <xf numFmtId="0" fontId="7" fillId="20" borderId="7" xfId="1" applyFont="1" applyFill="1" applyBorder="1" applyAlignment="1" applyProtection="1">
      <alignment horizontal="left" vertical="center"/>
      <protection locked="0"/>
    </xf>
    <xf numFmtId="0" fontId="7" fillId="20" borderId="8" xfId="1" applyFont="1" applyFill="1" applyBorder="1" applyAlignment="1" applyProtection="1">
      <alignment horizontal="left" vertical="center"/>
      <protection locked="0"/>
    </xf>
    <xf numFmtId="0" fontId="7" fillId="20" borderId="9" xfId="1" applyFont="1" applyFill="1" applyBorder="1" applyAlignment="1" applyProtection="1">
      <alignment horizontal="left" vertical="center"/>
      <protection locked="0"/>
    </xf>
    <xf numFmtId="0" fontId="7" fillId="20" borderId="7" xfId="1" applyFont="1" applyFill="1" applyBorder="1" applyAlignment="1" applyProtection="1">
      <alignment vertical="top" wrapText="1"/>
      <protection locked="0"/>
    </xf>
    <xf numFmtId="0" fontId="7" fillId="20" borderId="8" xfId="1" applyFont="1" applyFill="1" applyBorder="1" applyAlignment="1" applyProtection="1">
      <alignment vertical="top" wrapText="1"/>
      <protection locked="0"/>
    </xf>
    <xf numFmtId="0" fontId="7" fillId="20" borderId="9" xfId="1" applyFont="1" applyFill="1" applyBorder="1" applyAlignment="1" applyProtection="1">
      <alignment vertical="top" wrapText="1"/>
      <protection locked="0"/>
    </xf>
    <xf numFmtId="0" fontId="7" fillId="20" borderId="0" xfId="1" applyFont="1" applyFill="1" applyBorder="1" applyAlignment="1" applyProtection="1">
      <alignment vertical="center"/>
      <protection locked="0"/>
    </xf>
    <xf numFmtId="49" fontId="7" fillId="20" borderId="7" xfId="1" applyNumberFormat="1" applyFont="1" applyFill="1" applyBorder="1" applyAlignment="1" applyProtection="1">
      <alignment horizontal="center" vertical="center"/>
      <protection locked="0"/>
    </xf>
    <xf numFmtId="49" fontId="7" fillId="20" borderId="8" xfId="1" applyNumberFormat="1" applyFont="1" applyFill="1" applyBorder="1" applyAlignment="1" applyProtection="1">
      <alignment horizontal="center" vertical="center"/>
      <protection locked="0"/>
    </xf>
    <xf numFmtId="49" fontId="7" fillId="20" borderId="9" xfId="1" applyNumberFormat="1" applyFont="1" applyFill="1" applyBorder="1" applyAlignment="1" applyProtection="1">
      <alignment horizontal="center" vertical="center"/>
      <protection locked="0"/>
    </xf>
    <xf numFmtId="49" fontId="8" fillId="20" borderId="7" xfId="1" applyNumberFormat="1" applyFont="1" applyFill="1" applyBorder="1" applyAlignment="1" applyProtection="1">
      <alignment vertical="center"/>
      <protection locked="0"/>
    </xf>
    <xf numFmtId="49" fontId="8" fillId="20" borderId="8" xfId="1" applyNumberFormat="1" applyFont="1" applyFill="1" applyBorder="1" applyAlignment="1" applyProtection="1">
      <alignment vertical="center"/>
      <protection locked="0"/>
    </xf>
    <xf numFmtId="49" fontId="8" fillId="20" borderId="9" xfId="1" applyNumberFormat="1" applyFont="1" applyFill="1" applyBorder="1" applyAlignment="1" applyProtection="1">
      <alignment vertical="center"/>
      <protection locked="0"/>
    </xf>
    <xf numFmtId="49" fontId="7" fillId="20" borderId="7" xfId="1" applyNumberFormat="1" applyFont="1" applyFill="1" applyBorder="1" applyAlignment="1" applyProtection="1">
      <alignment horizontal="left" vertical="center"/>
      <protection locked="0"/>
    </xf>
    <xf numFmtId="49" fontId="7" fillId="20" borderId="8" xfId="1" applyNumberFormat="1" applyFont="1" applyFill="1" applyBorder="1" applyAlignment="1" applyProtection="1">
      <alignment horizontal="left" vertical="center"/>
      <protection locked="0"/>
    </xf>
    <xf numFmtId="49" fontId="7" fillId="20" borderId="9" xfId="1" applyNumberFormat="1" applyFont="1" applyFill="1" applyBorder="1" applyAlignment="1" applyProtection="1">
      <alignment horizontal="left" vertical="center"/>
      <protection locked="0"/>
    </xf>
    <xf numFmtId="49" fontId="7" fillId="20" borderId="0" xfId="1" applyNumberFormat="1" applyFont="1" applyFill="1" applyBorder="1" applyAlignment="1" applyProtection="1">
      <alignment vertical="center"/>
      <protection locked="0"/>
    </xf>
    <xf numFmtId="49" fontId="10" fillId="9" borderId="25" xfId="1" applyNumberFormat="1" applyFont="1" applyFill="1" applyBorder="1" applyAlignment="1" applyProtection="1">
      <alignment horizontal="right" vertical="center"/>
    </xf>
    <xf numFmtId="49" fontId="10" fillId="9" borderId="0" xfId="1" applyNumberFormat="1" applyFont="1" applyFill="1" applyBorder="1" applyAlignment="1" applyProtection="1">
      <alignment horizontal="right" vertical="center"/>
    </xf>
    <xf numFmtId="49" fontId="10" fillId="9" borderId="23" xfId="1" applyNumberFormat="1" applyFont="1" applyFill="1" applyBorder="1" applyAlignment="1" applyProtection="1">
      <alignment horizontal="right" vertical="center"/>
    </xf>
    <xf numFmtId="0" fontId="10" fillId="9" borderId="0" xfId="1" applyFont="1" applyFill="1" applyBorder="1" applyAlignment="1" applyProtection="1">
      <alignment horizontal="left" vertical="top" wrapText="1" indent="1"/>
    </xf>
    <xf numFmtId="0" fontId="10" fillId="9" borderId="23" xfId="1" applyFont="1" applyFill="1" applyBorder="1" applyAlignment="1" applyProtection="1">
      <alignment horizontal="left" vertical="top" wrapText="1" indent="1"/>
    </xf>
    <xf numFmtId="0" fontId="7" fillId="20" borderId="7" xfId="1" applyNumberFormat="1" applyFont="1" applyFill="1" applyBorder="1" applyAlignment="1" applyProtection="1">
      <alignment vertical="center"/>
      <protection locked="0"/>
    </xf>
    <xf numFmtId="0" fontId="7" fillId="20" borderId="8" xfId="1" applyNumberFormat="1" applyFont="1" applyFill="1" applyBorder="1" applyAlignment="1" applyProtection="1">
      <alignment vertical="center"/>
      <protection locked="0"/>
    </xf>
    <xf numFmtId="0" fontId="7" fillId="20" borderId="9" xfId="1" applyNumberFormat="1" applyFont="1" applyFill="1" applyBorder="1" applyAlignment="1" applyProtection="1">
      <alignment vertical="center"/>
      <protection locked="0"/>
    </xf>
    <xf numFmtId="0" fontId="9" fillId="20" borderId="7" xfId="1" applyNumberFormat="1" applyFont="1" applyFill="1" applyBorder="1" applyAlignment="1" applyProtection="1">
      <alignment vertical="top" wrapText="1"/>
      <protection locked="0"/>
    </xf>
    <xf numFmtId="0" fontId="9" fillId="20" borderId="8" xfId="1" applyNumberFormat="1" applyFont="1" applyFill="1" applyBorder="1" applyAlignment="1" applyProtection="1">
      <alignment vertical="top" wrapText="1"/>
      <protection locked="0"/>
    </xf>
    <xf numFmtId="0" fontId="9" fillId="20" borderId="9" xfId="1" applyNumberFormat="1" applyFont="1" applyFill="1" applyBorder="1" applyAlignment="1" applyProtection="1">
      <alignment vertical="top" wrapText="1"/>
      <protection locked="0"/>
    </xf>
    <xf numFmtId="49" fontId="28" fillId="20" borderId="7" xfId="1" applyNumberFormat="1" applyFont="1" applyFill="1" applyBorder="1" applyAlignment="1" applyProtection="1">
      <alignment horizontal="left" vertical="center"/>
      <protection locked="0"/>
    </xf>
    <xf numFmtId="49" fontId="28" fillId="20" borderId="8" xfId="1" applyNumberFormat="1" applyFont="1" applyFill="1" applyBorder="1" applyAlignment="1" applyProtection="1">
      <alignment horizontal="left" vertical="center"/>
      <protection locked="0"/>
    </xf>
    <xf numFmtId="49" fontId="28" fillId="20" borderId="9" xfId="1" applyNumberFormat="1" applyFont="1" applyFill="1" applyBorder="1" applyAlignment="1" applyProtection="1">
      <alignment horizontal="left" vertical="center"/>
      <protection locked="0"/>
    </xf>
    <xf numFmtId="0" fontId="7" fillId="20" borderId="7" xfId="1" applyFont="1" applyFill="1" applyBorder="1" applyAlignment="1" applyProtection="1">
      <alignment horizontal="center" vertical="center"/>
      <protection locked="0"/>
    </xf>
    <xf numFmtId="0" fontId="7" fillId="20" borderId="9" xfId="1" applyFont="1" applyFill="1" applyBorder="1" applyAlignment="1" applyProtection="1">
      <alignment horizontal="center" vertical="center"/>
      <protection locked="0"/>
    </xf>
    <xf numFmtId="175" fontId="7" fillId="20" borderId="7" xfId="1" applyNumberFormat="1" applyFont="1" applyFill="1" applyBorder="1" applyAlignment="1" applyProtection="1">
      <alignment vertical="center"/>
      <protection locked="0"/>
    </xf>
    <xf numFmtId="175" fontId="7" fillId="20" borderId="8" xfId="1" applyNumberFormat="1" applyFont="1" applyFill="1" applyBorder="1" applyAlignment="1" applyProtection="1">
      <alignment vertical="center"/>
      <protection locked="0"/>
    </xf>
    <xf numFmtId="175" fontId="7" fillId="20" borderId="9" xfId="1" applyNumberFormat="1" applyFont="1" applyFill="1" applyBorder="1" applyAlignment="1" applyProtection="1">
      <alignment vertical="center"/>
      <protection locked="0"/>
    </xf>
    <xf numFmtId="0" fontId="7" fillId="9" borderId="0" xfId="1" applyFont="1" applyFill="1" applyBorder="1" applyAlignment="1" applyProtection="1">
      <alignment vertical="center"/>
    </xf>
    <xf numFmtId="0" fontId="10" fillId="9" borderId="0" xfId="1" applyFont="1" applyFill="1" applyBorder="1" applyAlignment="1" applyProtection="1">
      <alignment horizontal="right" vertical="top" wrapText="1" indent="1"/>
    </xf>
    <xf numFmtId="0" fontId="10" fillId="9" borderId="23" xfId="1" applyFont="1" applyFill="1" applyBorder="1" applyAlignment="1" applyProtection="1">
      <alignment horizontal="right" vertical="top" wrapText="1" indent="1"/>
    </xf>
    <xf numFmtId="0" fontId="11" fillId="9" borderId="5" xfId="1" applyFont="1" applyFill="1" applyBorder="1" applyAlignment="1" applyProtection="1">
      <alignment horizontal="right" vertical="top" wrapText="1"/>
    </xf>
    <xf numFmtId="0" fontId="11" fillId="9" borderId="0" xfId="1" applyFont="1" applyFill="1" applyBorder="1" applyAlignment="1" applyProtection="1">
      <alignment horizontal="right" vertical="top" wrapText="1"/>
    </xf>
    <xf numFmtId="0" fontId="11" fillId="9" borderId="23" xfId="1" applyFont="1" applyFill="1" applyBorder="1" applyAlignment="1" applyProtection="1">
      <alignment horizontal="right" vertical="top" wrapText="1"/>
    </xf>
    <xf numFmtId="49" fontId="7" fillId="9" borderId="7" xfId="1" applyNumberFormat="1" applyFont="1" applyFill="1" applyBorder="1" applyAlignment="1" applyProtection="1">
      <alignment vertical="center"/>
    </xf>
    <xf numFmtId="49" fontId="7" fillId="9" borderId="8" xfId="1" applyNumberFormat="1" applyFont="1" applyFill="1" applyBorder="1" applyAlignment="1" applyProtection="1">
      <alignment vertical="center"/>
    </xf>
    <xf numFmtId="49" fontId="7" fillId="9" borderId="9" xfId="1" applyNumberFormat="1" applyFont="1" applyFill="1" applyBorder="1" applyAlignment="1" applyProtection="1">
      <alignment vertical="center"/>
    </xf>
    <xf numFmtId="0" fontId="7" fillId="9" borderId="19" xfId="1" applyFont="1" applyFill="1" applyBorder="1" applyAlignment="1" applyProtection="1">
      <alignment horizontal="left" vertical="top" wrapText="1"/>
    </xf>
    <xf numFmtId="0" fontId="7" fillId="9" borderId="16" xfId="1" applyFont="1" applyFill="1" applyBorder="1" applyAlignment="1" applyProtection="1">
      <alignment horizontal="left" vertical="top" wrapText="1"/>
    </xf>
    <xf numFmtId="0" fontId="7" fillId="9" borderId="20" xfId="1" applyFont="1" applyFill="1" applyBorder="1" applyAlignment="1" applyProtection="1">
      <alignment horizontal="left" vertical="top" wrapText="1"/>
    </xf>
    <xf numFmtId="0" fontId="7" fillId="9" borderId="25" xfId="1" applyFont="1" applyFill="1" applyBorder="1" applyAlignment="1" applyProtection="1">
      <alignment horizontal="left" vertical="top" wrapText="1"/>
    </xf>
    <xf numFmtId="0" fontId="7" fillId="9" borderId="0" xfId="1" applyFont="1" applyFill="1" applyBorder="1" applyAlignment="1" applyProtection="1">
      <alignment horizontal="left" vertical="top" wrapText="1"/>
    </xf>
    <xf numFmtId="0" fontId="7" fillId="9" borderId="23" xfId="1" applyFont="1" applyFill="1" applyBorder="1" applyAlignment="1" applyProtection="1">
      <alignment horizontal="left" vertical="top" wrapText="1"/>
    </xf>
    <xf numFmtId="0" fontId="7" fillId="9" borderId="21" xfId="1" applyFont="1" applyFill="1" applyBorder="1" applyAlignment="1" applyProtection="1">
      <alignment horizontal="left" vertical="top" wrapText="1"/>
    </xf>
    <xf numFmtId="0" fontId="7" fillId="9" borderId="17" xfId="1" applyFont="1" applyFill="1" applyBorder="1" applyAlignment="1" applyProtection="1">
      <alignment horizontal="left" vertical="top" wrapText="1"/>
    </xf>
    <xf numFmtId="0" fontId="7" fillId="9" borderId="22" xfId="1" applyFont="1" applyFill="1" applyBorder="1" applyAlignment="1" applyProtection="1">
      <alignment horizontal="left" vertical="top" wrapText="1"/>
    </xf>
    <xf numFmtId="49" fontId="7" fillId="20" borderId="19" xfId="1" applyNumberFormat="1" applyFont="1" applyFill="1" applyBorder="1" applyAlignment="1" applyProtection="1">
      <alignment vertical="center"/>
      <protection locked="0"/>
    </xf>
    <xf numFmtId="49" fontId="7" fillId="20" borderId="16" xfId="1" applyNumberFormat="1" applyFont="1" applyFill="1" applyBorder="1" applyAlignment="1" applyProtection="1">
      <alignment vertical="center"/>
      <protection locked="0"/>
    </xf>
    <xf numFmtId="49" fontId="7" fillId="20" borderId="20" xfId="1" applyNumberFormat="1" applyFont="1" applyFill="1" applyBorder="1" applyAlignment="1" applyProtection="1">
      <alignment vertical="center"/>
      <protection locked="0"/>
    </xf>
    <xf numFmtId="0" fontId="7" fillId="20" borderId="25" xfId="1" applyFont="1" applyFill="1" applyBorder="1" applyAlignment="1" applyProtection="1">
      <alignment vertical="center"/>
      <protection locked="0"/>
    </xf>
    <xf numFmtId="0" fontId="7" fillId="20" borderId="23" xfId="1" applyFont="1" applyFill="1" applyBorder="1" applyAlignment="1" applyProtection="1">
      <alignment vertical="center"/>
      <protection locked="0"/>
    </xf>
    <xf numFmtId="0" fontId="7" fillId="20" borderId="21" xfId="1" applyFont="1" applyFill="1" applyBorder="1" applyAlignment="1" applyProtection="1">
      <alignment vertical="center"/>
      <protection locked="0"/>
    </xf>
    <xf numFmtId="0" fontId="7" fillId="20" borderId="17" xfId="1" applyFont="1" applyFill="1" applyBorder="1" applyAlignment="1" applyProtection="1">
      <alignment vertical="center"/>
      <protection locked="0"/>
    </xf>
    <xf numFmtId="0" fontId="7" fillId="20" borderId="22" xfId="1" applyFont="1" applyFill="1" applyBorder="1" applyAlignment="1" applyProtection="1">
      <alignment vertical="center"/>
      <protection locked="0"/>
    </xf>
    <xf numFmtId="49" fontId="7" fillId="20" borderId="25" xfId="1" applyNumberFormat="1" applyFont="1" applyFill="1" applyBorder="1" applyAlignment="1" applyProtection="1">
      <alignment vertical="center"/>
      <protection locked="0"/>
    </xf>
    <xf numFmtId="49" fontId="7" fillId="20" borderId="23" xfId="1" applyNumberFormat="1" applyFont="1" applyFill="1" applyBorder="1" applyAlignment="1" applyProtection="1">
      <alignment vertical="center"/>
      <protection locked="0"/>
    </xf>
    <xf numFmtId="49" fontId="7" fillId="20" borderId="21" xfId="1" applyNumberFormat="1" applyFont="1" applyFill="1" applyBorder="1" applyAlignment="1" applyProtection="1">
      <alignment vertical="center"/>
      <protection locked="0"/>
    </xf>
    <xf numFmtId="49" fontId="7" fillId="20" borderId="17" xfId="1" applyNumberFormat="1" applyFont="1" applyFill="1" applyBorder="1" applyAlignment="1" applyProtection="1">
      <alignment vertical="center"/>
      <protection locked="0"/>
    </xf>
    <xf numFmtId="49" fontId="7" fillId="20" borderId="22" xfId="1" applyNumberFormat="1" applyFont="1" applyFill="1" applyBorder="1" applyAlignment="1" applyProtection="1">
      <alignment vertical="center"/>
      <protection locked="0"/>
    </xf>
    <xf numFmtId="49" fontId="7" fillId="9" borderId="0" xfId="1" applyNumberFormat="1" applyFont="1" applyFill="1" applyBorder="1" applyAlignment="1" applyProtection="1">
      <alignment vertical="center"/>
    </xf>
    <xf numFmtId="49" fontId="7" fillId="20" borderId="0" xfId="1" applyNumberFormat="1" applyFont="1" applyFill="1" applyBorder="1" applyAlignment="1" applyProtection="1">
      <alignment vertical="top"/>
      <protection locked="0"/>
    </xf>
    <xf numFmtId="49" fontId="7" fillId="20" borderId="40" xfId="1" applyNumberFormat="1" applyFont="1" applyFill="1" applyBorder="1" applyAlignment="1" applyProtection="1">
      <alignment vertical="center"/>
      <protection locked="0"/>
    </xf>
    <xf numFmtId="49" fontId="7" fillId="20" borderId="41" xfId="1" applyNumberFormat="1" applyFont="1" applyFill="1" applyBorder="1" applyAlignment="1" applyProtection="1">
      <alignment vertical="center"/>
      <protection locked="0"/>
    </xf>
    <xf numFmtId="49" fontId="7" fillId="20" borderId="42" xfId="1" applyNumberFormat="1" applyFont="1" applyFill="1" applyBorder="1" applyAlignment="1" applyProtection="1">
      <alignment vertical="center"/>
      <protection locked="0"/>
    </xf>
    <xf numFmtId="49" fontId="23" fillId="20" borderId="7" xfId="1" applyNumberFormat="1" applyFont="1" applyFill="1" applyBorder="1" applyAlignment="1" applyProtection="1">
      <alignment vertical="center"/>
      <protection locked="0"/>
    </xf>
    <xf numFmtId="49" fontId="23" fillId="20" borderId="8" xfId="1" applyNumberFormat="1" applyFont="1" applyFill="1" applyBorder="1" applyAlignment="1" applyProtection="1">
      <alignment vertical="center"/>
      <protection locked="0"/>
    </xf>
    <xf numFmtId="49" fontId="23" fillId="20" borderId="9" xfId="1" applyNumberFormat="1" applyFont="1" applyFill="1" applyBorder="1" applyAlignment="1" applyProtection="1">
      <alignment vertical="center"/>
      <protection locked="0"/>
    </xf>
    <xf numFmtId="14" fontId="7" fillId="9" borderId="25" xfId="1" applyNumberFormat="1" applyFont="1" applyFill="1" applyBorder="1" applyAlignment="1" applyProtection="1">
      <alignment horizontal="center" vertical="center"/>
    </xf>
    <xf numFmtId="0" fontId="9" fillId="19" borderId="7" xfId="1" applyFont="1" applyFill="1" applyBorder="1" applyAlignment="1" applyProtection="1">
      <alignment vertical="center"/>
    </xf>
    <xf numFmtId="0" fontId="9" fillId="19" borderId="8" xfId="1" applyFont="1" applyFill="1" applyBorder="1" applyAlignment="1" applyProtection="1">
      <alignment vertical="center"/>
    </xf>
    <xf numFmtId="0" fontId="9" fillId="19" borderId="9" xfId="1" applyFont="1" applyFill="1" applyBorder="1" applyAlignment="1" applyProtection="1">
      <alignment vertical="center"/>
    </xf>
    <xf numFmtId="0" fontId="9" fillId="19" borderId="7" xfId="1" applyFont="1" applyFill="1" applyBorder="1" applyAlignment="1" applyProtection="1">
      <alignment horizontal="left" vertical="top" wrapText="1"/>
    </xf>
    <xf numFmtId="0" fontId="9" fillId="19" borderId="8" xfId="1" applyFont="1" applyFill="1" applyBorder="1" applyAlignment="1" applyProtection="1">
      <alignment horizontal="left" vertical="top" wrapText="1"/>
    </xf>
    <xf numFmtId="0" fontId="9" fillId="19" borderId="9" xfId="1" applyFont="1" applyFill="1" applyBorder="1" applyAlignment="1" applyProtection="1">
      <alignment horizontal="left" vertical="top" wrapText="1"/>
    </xf>
    <xf numFmtId="0" fontId="8" fillId="9" borderId="3" xfId="1" applyFont="1" applyFill="1" applyBorder="1" applyAlignment="1" applyProtection="1">
      <alignment horizontal="center" vertical="center"/>
    </xf>
    <xf numFmtId="0" fontId="7" fillId="19" borderId="7" xfId="1" applyFont="1" applyFill="1" applyBorder="1" applyAlignment="1" applyProtection="1">
      <alignment horizontal="center" vertical="center"/>
    </xf>
    <xf numFmtId="0" fontId="7" fillId="19" borderId="9" xfId="1" applyFont="1" applyFill="1" applyBorder="1" applyAlignment="1" applyProtection="1">
      <alignment horizontal="center" vertical="center"/>
    </xf>
    <xf numFmtId="2" fontId="7" fillId="19" borderId="7" xfId="1" applyNumberFormat="1" applyFont="1" applyFill="1" applyBorder="1" applyAlignment="1" applyProtection="1">
      <alignment vertical="center"/>
    </xf>
    <xf numFmtId="2" fontId="7" fillId="19" borderId="8" xfId="1" applyNumberFormat="1" applyFont="1" applyFill="1" applyBorder="1" applyAlignment="1" applyProtection="1">
      <alignment vertical="center"/>
    </xf>
    <xf numFmtId="2" fontId="7" fillId="19" borderId="9" xfId="1" applyNumberFormat="1" applyFont="1" applyFill="1" applyBorder="1" applyAlignment="1" applyProtection="1">
      <alignment vertical="center"/>
    </xf>
    <xf numFmtId="0" fontId="7" fillId="19" borderId="7" xfId="1" applyNumberFormat="1" applyFont="1" applyFill="1" applyBorder="1" applyAlignment="1" applyProtection="1">
      <alignment vertical="center"/>
    </xf>
    <xf numFmtId="0" fontId="7" fillId="19" borderId="8" xfId="1" applyNumberFormat="1" applyFont="1" applyFill="1" applyBorder="1" applyAlignment="1" applyProtection="1">
      <alignment vertical="center"/>
    </xf>
    <xf numFmtId="0" fontId="7" fillId="19" borderId="9" xfId="1" applyNumberFormat="1" applyFont="1" applyFill="1" applyBorder="1" applyAlignment="1" applyProtection="1">
      <alignment vertical="center"/>
    </xf>
    <xf numFmtId="49" fontId="7" fillId="20" borderId="7" xfId="1" applyNumberFormat="1" applyFont="1" applyFill="1" applyBorder="1" applyAlignment="1" applyProtection="1">
      <alignment vertical="center" wrapText="1"/>
      <protection locked="0"/>
    </xf>
    <xf numFmtId="49" fontId="7" fillId="20" borderId="8" xfId="1" applyNumberFormat="1" applyFont="1" applyFill="1" applyBorder="1" applyAlignment="1" applyProtection="1">
      <alignment vertical="center" wrapText="1"/>
      <protection locked="0"/>
    </xf>
    <xf numFmtId="49" fontId="7" fillId="20" borderId="9" xfId="1" applyNumberFormat="1" applyFont="1" applyFill="1" applyBorder="1" applyAlignment="1" applyProtection="1">
      <alignment vertical="center" wrapText="1"/>
      <protection locked="0"/>
    </xf>
    <xf numFmtId="0" fontId="7" fillId="20" borderId="19" xfId="1" applyFont="1" applyFill="1" applyBorder="1" applyAlignment="1" applyProtection="1">
      <alignment vertical="top" wrapText="1"/>
      <protection locked="0"/>
    </xf>
    <xf numFmtId="0" fontId="7" fillId="20" borderId="16" xfId="1" applyFont="1" applyFill="1" applyBorder="1" applyAlignment="1" applyProtection="1">
      <alignment vertical="top" wrapText="1"/>
      <protection locked="0"/>
    </xf>
    <xf numFmtId="0" fontId="7" fillId="20" borderId="20" xfId="1" applyFont="1" applyFill="1" applyBorder="1" applyAlignment="1" applyProtection="1">
      <alignment vertical="top" wrapText="1"/>
      <protection locked="0"/>
    </xf>
    <xf numFmtId="0" fontId="7" fillId="20" borderId="21" xfId="1" applyFont="1" applyFill="1" applyBorder="1" applyAlignment="1" applyProtection="1">
      <alignment vertical="top" wrapText="1"/>
      <protection locked="0"/>
    </xf>
    <xf numFmtId="0" fontId="7" fillId="20" borderId="17" xfId="1" applyFont="1" applyFill="1" applyBorder="1" applyAlignment="1" applyProtection="1">
      <alignment vertical="top" wrapText="1"/>
      <protection locked="0"/>
    </xf>
    <xf numFmtId="0" fontId="7" fillId="20" borderId="22" xfId="1" applyFont="1" applyFill="1" applyBorder="1" applyAlignment="1" applyProtection="1">
      <alignment vertical="top" wrapText="1"/>
      <protection locked="0"/>
    </xf>
    <xf numFmtId="0" fontId="7" fillId="20" borderId="0" xfId="1" applyNumberFormat="1" applyFont="1" applyFill="1" applyBorder="1" applyAlignment="1" applyProtection="1">
      <alignment vertical="center"/>
      <protection locked="0"/>
    </xf>
    <xf numFmtId="0" fontId="7" fillId="9" borderId="7" xfId="1" applyFont="1" applyFill="1" applyBorder="1" applyAlignment="1" applyProtection="1">
      <alignment vertical="center"/>
    </xf>
    <xf numFmtId="0" fontId="7" fillId="9" borderId="8" xfId="1" applyFont="1" applyFill="1" applyBorder="1" applyAlignment="1" applyProtection="1">
      <alignment vertical="center"/>
    </xf>
    <xf numFmtId="0" fontId="7" fillId="9" borderId="9" xfId="1" applyFont="1" applyFill="1" applyBorder="1" applyAlignment="1" applyProtection="1">
      <alignment vertical="center"/>
    </xf>
    <xf numFmtId="0" fontId="10" fillId="9" borderId="0" xfId="1" applyFont="1" applyFill="1" applyBorder="1" applyAlignment="1" applyProtection="1">
      <alignment horizontal="right" vertical="center" wrapText="1" indent="1"/>
    </xf>
    <xf numFmtId="0" fontId="7" fillId="20" borderId="7" xfId="1" applyFont="1" applyFill="1" applyBorder="1" applyAlignment="1" applyProtection="1">
      <alignment horizontal="left" vertical="top" wrapText="1" indent="1"/>
      <protection locked="0"/>
    </xf>
    <xf numFmtId="0" fontId="7" fillId="20" borderId="8" xfId="1" applyFont="1" applyFill="1" applyBorder="1" applyAlignment="1" applyProtection="1">
      <alignment horizontal="left" vertical="top" wrapText="1" indent="1"/>
      <protection locked="0"/>
    </xf>
    <xf numFmtId="0" fontId="7" fillId="20" borderId="9" xfId="1" applyFont="1" applyFill="1" applyBorder="1" applyAlignment="1" applyProtection="1">
      <alignment horizontal="left" vertical="top" wrapText="1" indent="1"/>
      <protection locked="0"/>
    </xf>
    <xf numFmtId="0" fontId="11" fillId="9" borderId="5" xfId="1" applyFont="1" applyFill="1" applyBorder="1"/>
    <xf numFmtId="0" fontId="11" fillId="9" borderId="0" xfId="1" applyFont="1" applyFill="1" applyBorder="1"/>
    <xf numFmtId="49" fontId="11" fillId="20" borderId="7" xfId="1" applyNumberFormat="1" applyFont="1" applyFill="1" applyBorder="1" applyAlignment="1" applyProtection="1">
      <alignment horizontal="center"/>
      <protection locked="0"/>
    </xf>
    <xf numFmtId="49" fontId="11" fillId="20" borderId="8" xfId="1" applyNumberFormat="1" applyFont="1" applyFill="1" applyBorder="1" applyAlignment="1" applyProtection="1">
      <alignment horizontal="center"/>
      <protection locked="0"/>
    </xf>
    <xf numFmtId="49" fontId="11" fillId="20" borderId="9" xfId="1" applyNumberFormat="1" applyFont="1" applyFill="1" applyBorder="1" applyAlignment="1" applyProtection="1">
      <alignment horizontal="center"/>
      <protection locked="0"/>
    </xf>
    <xf numFmtId="0" fontId="23" fillId="20" borderId="7" xfId="1" applyFont="1" applyFill="1" applyBorder="1" applyAlignment="1" applyProtection="1">
      <alignment horizontal="left"/>
    </xf>
    <xf numFmtId="0" fontId="23" fillId="20" borderId="8" xfId="1" applyFont="1" applyFill="1" applyBorder="1" applyAlignment="1" applyProtection="1">
      <alignment horizontal="left"/>
    </xf>
    <xf numFmtId="0" fontId="23" fillId="20" borderId="9" xfId="1" applyFont="1" applyFill="1" applyBorder="1" applyAlignment="1" applyProtection="1">
      <alignment horizontal="left"/>
    </xf>
    <xf numFmtId="0" fontId="23" fillId="9" borderId="0" xfId="1" applyFont="1" applyFill="1" applyBorder="1" applyProtection="1">
      <protection locked="0"/>
    </xf>
    <xf numFmtId="168" fontId="10" fillId="20" borderId="7" xfId="1" applyNumberFormat="1" applyFont="1" applyFill="1" applyBorder="1" applyAlignment="1" applyProtection="1">
      <alignment horizontal="center" vertical="center"/>
      <protection locked="0"/>
    </xf>
    <xf numFmtId="168" fontId="10" fillId="20" borderId="8" xfId="1" applyNumberFormat="1" applyFont="1" applyFill="1" applyBorder="1" applyAlignment="1" applyProtection="1">
      <alignment horizontal="center" vertical="center"/>
      <protection locked="0"/>
    </xf>
    <xf numFmtId="168" fontId="10" fillId="20" borderId="9" xfId="1" applyNumberFormat="1" applyFont="1" applyFill="1" applyBorder="1" applyAlignment="1" applyProtection="1">
      <alignment horizontal="center" vertical="center"/>
      <protection locked="0"/>
    </xf>
    <xf numFmtId="0" fontId="10" fillId="20" borderId="19" xfId="1" applyNumberFormat="1" applyFont="1" applyFill="1" applyBorder="1" applyAlignment="1" applyProtection="1">
      <alignment horizontal="left" vertical="top"/>
      <protection locked="0"/>
    </xf>
    <xf numFmtId="0" fontId="10" fillId="20" borderId="16" xfId="1" applyNumberFormat="1" applyFont="1" applyFill="1" applyBorder="1" applyAlignment="1" applyProtection="1">
      <alignment horizontal="left" vertical="top"/>
      <protection locked="0"/>
    </xf>
    <xf numFmtId="0" fontId="10" fillId="20" borderId="20" xfId="1" applyNumberFormat="1" applyFont="1" applyFill="1" applyBorder="1" applyAlignment="1" applyProtection="1">
      <alignment horizontal="left" vertical="top"/>
      <protection locked="0"/>
    </xf>
    <xf numFmtId="0" fontId="10" fillId="19" borderId="7" xfId="1" applyNumberFormat="1" applyFont="1" applyFill="1" applyBorder="1" applyAlignment="1" applyProtection="1">
      <alignment horizontal="left" vertical="center"/>
    </xf>
    <xf numFmtId="0" fontId="10" fillId="19" borderId="8" xfId="1" applyNumberFormat="1" applyFont="1" applyFill="1" applyBorder="1" applyAlignment="1" applyProtection="1">
      <alignment horizontal="left" vertical="center"/>
    </xf>
    <xf numFmtId="0" fontId="10" fillId="19" borderId="9" xfId="1" applyNumberFormat="1" applyFont="1" applyFill="1" applyBorder="1" applyAlignment="1" applyProtection="1">
      <alignment horizontal="left" vertical="center"/>
    </xf>
    <xf numFmtId="0" fontId="9" fillId="9" borderId="11" xfId="1" applyFont="1" applyFill="1" applyBorder="1"/>
    <xf numFmtId="0" fontId="10" fillId="20" borderId="25" xfId="1" applyNumberFormat="1" applyFont="1" applyFill="1" applyBorder="1" applyAlignment="1" applyProtection="1">
      <alignment horizontal="left" vertical="top"/>
      <protection locked="0"/>
    </xf>
    <xf numFmtId="0" fontId="10" fillId="20" borderId="0" xfId="1" applyNumberFormat="1" applyFont="1" applyFill="1" applyBorder="1" applyAlignment="1" applyProtection="1">
      <alignment horizontal="left" vertical="top"/>
      <protection locked="0"/>
    </xf>
    <xf numFmtId="0" fontId="10" fillId="20" borderId="23" xfId="1" applyNumberFormat="1" applyFont="1" applyFill="1" applyBorder="1" applyAlignment="1" applyProtection="1">
      <alignment horizontal="left" vertical="top"/>
      <protection locked="0"/>
    </xf>
    <xf numFmtId="0" fontId="10" fillId="20" borderId="21" xfId="1" applyNumberFormat="1" applyFont="1" applyFill="1" applyBorder="1" applyAlignment="1" applyProtection="1">
      <alignment horizontal="left" vertical="top"/>
      <protection locked="0"/>
    </xf>
    <xf numFmtId="0" fontId="10" fillId="20" borderId="17" xfId="1" applyNumberFormat="1" applyFont="1" applyFill="1" applyBorder="1" applyAlignment="1" applyProtection="1">
      <alignment horizontal="left" vertical="top"/>
      <protection locked="0"/>
    </xf>
    <xf numFmtId="0" fontId="10" fillId="20" borderId="22" xfId="1" applyNumberFormat="1" applyFont="1" applyFill="1" applyBorder="1" applyAlignment="1" applyProtection="1">
      <alignment horizontal="left" vertical="top"/>
      <protection locked="0"/>
    </xf>
    <xf numFmtId="0" fontId="8" fillId="9" borderId="3" xfId="1" applyFont="1" applyFill="1" applyBorder="1" applyAlignment="1">
      <alignment horizontal="center" vertical="center"/>
    </xf>
    <xf numFmtId="0" fontId="10" fillId="19" borderId="7" xfId="1" applyNumberFormat="1" applyFont="1" applyFill="1" applyBorder="1" applyAlignment="1" applyProtection="1">
      <alignment vertical="center"/>
    </xf>
    <xf numFmtId="0" fontId="10" fillId="19" borderId="8" xfId="1" applyNumberFormat="1" applyFont="1" applyFill="1" applyBorder="1" applyAlignment="1" applyProtection="1">
      <alignment vertical="center"/>
    </xf>
    <xf numFmtId="0" fontId="10" fillId="19" borderId="9" xfId="1" applyNumberFormat="1" applyFont="1" applyFill="1" applyBorder="1" applyAlignment="1" applyProtection="1">
      <alignment vertical="center"/>
    </xf>
    <xf numFmtId="0" fontId="3" fillId="24" borderId="1" xfId="4" applyFont="1" applyFill="1" applyBorder="1" applyProtection="1">
      <protection locked="0"/>
    </xf>
    <xf numFmtId="0" fontId="53" fillId="5" borderId="25" xfId="4" applyFont="1" applyFill="1" applyBorder="1" applyAlignment="1" applyProtection="1">
      <alignment horizontal="left" vertical="center"/>
    </xf>
    <xf numFmtId="0" fontId="53" fillId="5" borderId="0" xfId="4" applyFont="1" applyFill="1" applyBorder="1" applyAlignment="1" applyProtection="1">
      <alignment horizontal="left" vertical="center"/>
    </xf>
    <xf numFmtId="0" fontId="20" fillId="21" borderId="8" xfId="4" applyFont="1" applyFill="1" applyBorder="1" applyAlignment="1" applyProtection="1">
      <alignment horizontal="center" vertical="center"/>
    </xf>
    <xf numFmtId="0" fontId="49" fillId="9" borderId="25" xfId="4" applyFont="1" applyFill="1" applyBorder="1" applyAlignment="1" applyProtection="1">
      <alignment horizontal="center" vertical="center"/>
    </xf>
    <xf numFmtId="0" fontId="49" fillId="9" borderId="0" xfId="4" applyFont="1" applyFill="1" applyBorder="1" applyAlignment="1" applyProtection="1">
      <alignment horizontal="center" vertical="center"/>
    </xf>
    <xf numFmtId="0" fontId="49" fillId="9" borderId="23" xfId="4" applyFont="1" applyFill="1" applyBorder="1" applyAlignment="1" applyProtection="1">
      <alignment horizontal="center" vertical="center"/>
    </xf>
    <xf numFmtId="0" fontId="35" fillId="9" borderId="0" xfId="0" applyFont="1" applyFill="1" applyBorder="1" applyAlignment="1">
      <alignment horizontal="right" vertical="center"/>
    </xf>
    <xf numFmtId="0" fontId="35" fillId="9" borderId="23" xfId="0" applyFont="1" applyFill="1" applyBorder="1" applyAlignment="1">
      <alignment horizontal="right" vertical="center"/>
    </xf>
    <xf numFmtId="0" fontId="16" fillId="22" borderId="7" xfId="4" applyFont="1" applyFill="1" applyBorder="1" applyAlignment="1" applyProtection="1">
      <alignment horizontal="left"/>
    </xf>
    <xf numFmtId="0" fontId="16" fillId="22" borderId="8" xfId="4" applyFont="1" applyFill="1" applyBorder="1" applyAlignment="1" applyProtection="1">
      <alignment horizontal="left"/>
    </xf>
    <xf numFmtId="0" fontId="16" fillId="22" borderId="9" xfId="4" applyFont="1" applyFill="1" applyBorder="1" applyAlignment="1" applyProtection="1">
      <alignment horizontal="left"/>
    </xf>
    <xf numFmtId="0" fontId="6" fillId="9" borderId="0" xfId="3" applyFont="1" applyFill="1" applyAlignment="1" applyProtection="1">
      <alignment horizontal="center" vertical="center"/>
    </xf>
    <xf numFmtId="0" fontId="6" fillId="9" borderId="0" xfId="3" applyFill="1" applyAlignment="1" applyProtection="1">
      <alignment horizontal="center" vertical="center"/>
    </xf>
    <xf numFmtId="11" fontId="29" fillId="0" borderId="0" xfId="0" applyNumberFormat="1" applyFont="1"/>
    <xf numFmtId="49" fontId="62" fillId="0" borderId="0" xfId="0" applyNumberFormat="1" applyFont="1" applyBorder="1"/>
    <xf numFmtId="49" fontId="29" fillId="0" borderId="0" xfId="0" applyNumberFormat="1" applyFont="1"/>
    <xf numFmtId="49" fontId="0" fillId="0" borderId="0" xfId="0" applyNumberFormat="1"/>
    <xf numFmtId="0" fontId="64" fillId="36" borderId="7" xfId="1" applyFont="1" applyFill="1" applyBorder="1" applyAlignment="1" applyProtection="1">
      <alignment horizontal="center" vertical="center"/>
    </xf>
    <xf numFmtId="0" fontId="64" fillId="36" borderId="8" xfId="1" applyFont="1" applyFill="1" applyBorder="1" applyAlignment="1" applyProtection="1">
      <alignment horizontal="center" vertical="center"/>
    </xf>
    <xf numFmtId="0" fontId="64" fillId="36" borderId="9" xfId="1" applyFont="1" applyFill="1" applyBorder="1" applyAlignment="1" applyProtection="1">
      <alignment horizontal="center" vertical="center"/>
    </xf>
  </cellXfs>
  <cellStyles count="66">
    <cellStyle name="amount" xfId="12" xr:uid="{00000000-0005-0000-0000-000000000000}"/>
    <cellStyle name="amount 2" xfId="59" xr:uid="{00000000-0005-0000-0000-000001000000}"/>
    <cellStyle name="Blank" xfId="13" xr:uid="{00000000-0005-0000-0000-000002000000}"/>
    <cellStyle name="Body text" xfId="14" xr:uid="{00000000-0005-0000-0000-000003000000}"/>
    <cellStyle name="Comma 2" xfId="6" xr:uid="{00000000-0005-0000-0000-000004000000}"/>
    <cellStyle name="Comma 2 2" xfId="54" xr:uid="{00000000-0005-0000-0000-000005000000}"/>
    <cellStyle name="Comma0" xfId="15" xr:uid="{00000000-0005-0000-0000-000006000000}"/>
    <cellStyle name="Currency 2" xfId="5" xr:uid="{00000000-0005-0000-0000-000007000000}"/>
    <cellStyle name="Currency 2 2" xfId="53" xr:uid="{00000000-0005-0000-0000-000008000000}"/>
    <cellStyle name="Currency 3" xfId="16" xr:uid="{00000000-0005-0000-0000-000009000000}"/>
    <cellStyle name="Currency 3 2" xfId="60" xr:uid="{00000000-0005-0000-0000-00000A000000}"/>
    <cellStyle name="Currency0" xfId="17" xr:uid="{00000000-0005-0000-0000-00000B000000}"/>
    <cellStyle name="DarkBlueOutline" xfId="18" xr:uid="{00000000-0005-0000-0000-00000C000000}"/>
    <cellStyle name="DarkBlueOutlineYellow" xfId="19" xr:uid="{00000000-0005-0000-0000-00000D000000}"/>
    <cellStyle name="Date" xfId="20" xr:uid="{00000000-0005-0000-0000-00000E000000}"/>
    <cellStyle name="Dezimal [0]_Compiling Utility Macros" xfId="21" xr:uid="{00000000-0005-0000-0000-00000F000000}"/>
    <cellStyle name="Dezimal_Compiling Utility Macros" xfId="22" xr:uid="{00000000-0005-0000-0000-000010000000}"/>
    <cellStyle name="Fixed" xfId="23" xr:uid="{00000000-0005-0000-0000-000011000000}"/>
    <cellStyle name="Good" xfId="7" builtinId="26"/>
    <cellStyle name="GRAY" xfId="24" xr:uid="{00000000-0005-0000-0000-000013000000}"/>
    <cellStyle name="Gross Margin" xfId="25" xr:uid="{00000000-0005-0000-0000-000014000000}"/>
    <cellStyle name="Gross Margin 2" xfId="61" xr:uid="{00000000-0005-0000-0000-000015000000}"/>
    <cellStyle name="header" xfId="26" xr:uid="{00000000-0005-0000-0000-000016000000}"/>
    <cellStyle name="Header Total" xfId="27" xr:uid="{00000000-0005-0000-0000-000017000000}"/>
    <cellStyle name="Header1" xfId="28" xr:uid="{00000000-0005-0000-0000-000018000000}"/>
    <cellStyle name="Header2" xfId="29" xr:uid="{00000000-0005-0000-0000-000019000000}"/>
    <cellStyle name="Header3" xfId="30" xr:uid="{00000000-0005-0000-0000-00001A000000}"/>
    <cellStyle name="Hyperlink" xfId="3" builtinId="8"/>
    <cellStyle name="Level 2 Total" xfId="31" xr:uid="{00000000-0005-0000-0000-00001C000000}"/>
    <cellStyle name="Level 2 Total 2" xfId="62" xr:uid="{00000000-0005-0000-0000-00001D000000}"/>
    <cellStyle name="Major Total" xfId="32" xr:uid="{00000000-0005-0000-0000-00001E000000}"/>
    <cellStyle name="Neutral" xfId="48" builtinId="28"/>
    <cellStyle name="Neutral 2" xfId="65" xr:uid="{00000000-0005-0000-0000-000020000000}"/>
    <cellStyle name="NonPrint_TemTitle" xfId="33" xr:uid="{00000000-0005-0000-0000-000021000000}"/>
    <cellStyle name="Normal" xfId="0" builtinId="0"/>
    <cellStyle name="Normal 10" xfId="46" xr:uid="{00000000-0005-0000-0000-000023000000}"/>
    <cellStyle name="Normal 2" xfId="1" xr:uid="{00000000-0005-0000-0000-000024000000}"/>
    <cellStyle name="Normal 2 2" xfId="4" xr:uid="{00000000-0005-0000-0000-000025000000}"/>
    <cellStyle name="Normal 2 3" xfId="47" xr:uid="{00000000-0005-0000-0000-000026000000}"/>
    <cellStyle name="Normal 3" xfId="2" xr:uid="{00000000-0005-0000-0000-000027000000}"/>
    <cellStyle name="Normal 4" xfId="8" xr:uid="{00000000-0005-0000-0000-000028000000}"/>
    <cellStyle name="Normal 4 2" xfId="55" xr:uid="{00000000-0005-0000-0000-000029000000}"/>
    <cellStyle name="Normal 5" xfId="9" xr:uid="{00000000-0005-0000-0000-00002A000000}"/>
    <cellStyle name="Normal 5 2" xfId="56" xr:uid="{00000000-0005-0000-0000-00002B000000}"/>
    <cellStyle name="Normal 6" xfId="10" xr:uid="{00000000-0005-0000-0000-00002C000000}"/>
    <cellStyle name="Normal 6 2" xfId="57" xr:uid="{00000000-0005-0000-0000-00002D000000}"/>
    <cellStyle name="Normal 7" xfId="11" xr:uid="{00000000-0005-0000-0000-00002E000000}"/>
    <cellStyle name="Normal 7 2" xfId="58" xr:uid="{00000000-0005-0000-0000-00002F000000}"/>
    <cellStyle name="Normal 8" xfId="44" xr:uid="{00000000-0005-0000-0000-000030000000}"/>
    <cellStyle name="Normal 8 2" xfId="63" xr:uid="{00000000-0005-0000-0000-000031000000}"/>
    <cellStyle name="Normal 9" xfId="45" xr:uid="{00000000-0005-0000-0000-000032000000}"/>
    <cellStyle name="Normal 9 2" xfId="64" xr:uid="{00000000-0005-0000-0000-000033000000}"/>
    <cellStyle name="Normal_SETUP" xfId="49" xr:uid="{00000000-0005-0000-0000-000034000000}"/>
    <cellStyle name="Normal_SETUP_1" xfId="51" xr:uid="{00000000-0005-0000-0000-000035000000}"/>
    <cellStyle name="Normal_SETUP_2" xfId="52" xr:uid="{00000000-0005-0000-0000-000036000000}"/>
    <cellStyle name="Normal_Sheet2" xfId="50" xr:uid="{00000000-0005-0000-0000-000037000000}"/>
    <cellStyle name="NormalRed" xfId="34" xr:uid="{00000000-0005-0000-0000-000038000000}"/>
    <cellStyle name="Percent.0" xfId="35" xr:uid="{00000000-0005-0000-0000-000039000000}"/>
    <cellStyle name="Percent.00" xfId="36" xr:uid="{00000000-0005-0000-0000-00003A000000}"/>
    <cellStyle name="RED POSTED" xfId="37" xr:uid="{00000000-0005-0000-0000-00003B000000}"/>
    <cellStyle name="Standard_Anpassen der Amortisation" xfId="38" xr:uid="{00000000-0005-0000-0000-00003C000000}"/>
    <cellStyle name="Text_simple" xfId="39" xr:uid="{00000000-0005-0000-0000-00003D000000}"/>
    <cellStyle name="TmsRmn10BlueItalic" xfId="40" xr:uid="{00000000-0005-0000-0000-00003E000000}"/>
    <cellStyle name="TmsRmn10Bold" xfId="41" xr:uid="{00000000-0005-0000-0000-00003F000000}"/>
    <cellStyle name="Währung [0]_Compiling Utility Macros" xfId="42" xr:uid="{00000000-0005-0000-0000-000040000000}"/>
    <cellStyle name="Währung_Compiling Utility Macros" xfId="43" xr:uid="{00000000-0005-0000-0000-000041000000}"/>
  </cellStyles>
  <dxfs count="21"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jpeg"/></Relationships>
</file>

<file path=xl/drawings/_rels/vmlDrawing1.vml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16" Type="http://schemas.openxmlformats.org/officeDocument/2006/relationships/image" Target="../media/image29.emf"/><Relationship Id="rId11" Type="http://schemas.openxmlformats.org/officeDocument/2006/relationships/image" Target="../media/image24.emf"/><Relationship Id="rId32" Type="http://schemas.openxmlformats.org/officeDocument/2006/relationships/image" Target="../media/image5.emf"/><Relationship Id="rId37" Type="http://schemas.openxmlformats.org/officeDocument/2006/relationships/image" Target="../media/image37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74" Type="http://schemas.openxmlformats.org/officeDocument/2006/relationships/image" Target="../media/image74.emf"/><Relationship Id="rId79" Type="http://schemas.openxmlformats.org/officeDocument/2006/relationships/image" Target="../media/image79.emf"/><Relationship Id="rId5" Type="http://schemas.openxmlformats.org/officeDocument/2006/relationships/image" Target="../media/image18.emf"/><Relationship Id="rId61" Type="http://schemas.openxmlformats.org/officeDocument/2006/relationships/image" Target="../media/image61.emf"/><Relationship Id="rId19" Type="http://schemas.openxmlformats.org/officeDocument/2006/relationships/image" Target="../media/image32.emf"/><Relationship Id="rId14" Type="http://schemas.openxmlformats.org/officeDocument/2006/relationships/image" Target="../media/image27.emf"/><Relationship Id="rId22" Type="http://schemas.openxmlformats.org/officeDocument/2006/relationships/image" Target="../media/image35.emf"/><Relationship Id="rId27" Type="http://schemas.openxmlformats.org/officeDocument/2006/relationships/image" Target="../media/image10.emf"/><Relationship Id="rId30" Type="http://schemas.openxmlformats.org/officeDocument/2006/relationships/image" Target="../media/image7.emf"/><Relationship Id="rId35" Type="http://schemas.openxmlformats.org/officeDocument/2006/relationships/image" Target="../media/image2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21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80" Type="http://schemas.openxmlformats.org/officeDocument/2006/relationships/image" Target="../media/image80.emf"/><Relationship Id="rId3" Type="http://schemas.openxmlformats.org/officeDocument/2006/relationships/image" Target="../media/image16.emf"/><Relationship Id="rId12" Type="http://schemas.openxmlformats.org/officeDocument/2006/relationships/image" Target="../media/image25.emf"/><Relationship Id="rId17" Type="http://schemas.openxmlformats.org/officeDocument/2006/relationships/image" Target="../media/image30.emf"/><Relationship Id="rId25" Type="http://schemas.openxmlformats.org/officeDocument/2006/relationships/image" Target="../media/image12.emf"/><Relationship Id="rId33" Type="http://schemas.openxmlformats.org/officeDocument/2006/relationships/image" Target="../media/image4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33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1" Type="http://schemas.openxmlformats.org/officeDocument/2006/relationships/image" Target="../media/image14.emf"/><Relationship Id="rId6" Type="http://schemas.openxmlformats.org/officeDocument/2006/relationships/image" Target="../media/image19.emf"/><Relationship Id="rId15" Type="http://schemas.openxmlformats.org/officeDocument/2006/relationships/image" Target="../media/image28.emf"/><Relationship Id="rId23" Type="http://schemas.openxmlformats.org/officeDocument/2006/relationships/image" Target="../media/image13.emf"/><Relationship Id="rId28" Type="http://schemas.openxmlformats.org/officeDocument/2006/relationships/image" Target="../media/image9.emf"/><Relationship Id="rId36" Type="http://schemas.openxmlformats.org/officeDocument/2006/relationships/image" Target="../media/image1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10" Type="http://schemas.openxmlformats.org/officeDocument/2006/relationships/image" Target="../media/image23.emf"/><Relationship Id="rId31" Type="http://schemas.openxmlformats.org/officeDocument/2006/relationships/image" Target="../media/image6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78" Type="http://schemas.openxmlformats.org/officeDocument/2006/relationships/image" Target="../media/image78.emf"/><Relationship Id="rId81" Type="http://schemas.openxmlformats.org/officeDocument/2006/relationships/image" Target="../media/image81.emf"/><Relationship Id="rId4" Type="http://schemas.openxmlformats.org/officeDocument/2006/relationships/image" Target="../media/image17.emf"/><Relationship Id="rId9" Type="http://schemas.openxmlformats.org/officeDocument/2006/relationships/image" Target="../media/image22.emf"/><Relationship Id="rId13" Type="http://schemas.openxmlformats.org/officeDocument/2006/relationships/image" Target="../media/image26.emf"/><Relationship Id="rId18" Type="http://schemas.openxmlformats.org/officeDocument/2006/relationships/image" Target="../media/image31.emf"/><Relationship Id="rId39" Type="http://schemas.openxmlformats.org/officeDocument/2006/relationships/image" Target="../media/image39.emf"/><Relationship Id="rId34" Type="http://schemas.openxmlformats.org/officeDocument/2006/relationships/image" Target="../media/image3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76" Type="http://schemas.openxmlformats.org/officeDocument/2006/relationships/image" Target="../media/image76.emf"/><Relationship Id="rId7" Type="http://schemas.openxmlformats.org/officeDocument/2006/relationships/image" Target="../media/image20.emf"/><Relationship Id="rId71" Type="http://schemas.openxmlformats.org/officeDocument/2006/relationships/image" Target="../media/image71.emf"/><Relationship Id="rId2" Type="http://schemas.openxmlformats.org/officeDocument/2006/relationships/image" Target="../media/image15.emf"/><Relationship Id="rId29" Type="http://schemas.openxmlformats.org/officeDocument/2006/relationships/image" Target="../media/image8.emf"/><Relationship Id="rId24" Type="http://schemas.openxmlformats.org/officeDocument/2006/relationships/image" Target="../media/image36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66" Type="http://schemas.openxmlformats.org/officeDocument/2006/relationships/image" Target="../media/image66.emf"/></Relationships>
</file>

<file path=xl/drawings/_rels/vmlDrawing2.vml.rels><?xml version="1.0" encoding="UTF-8" standalone="yes"?>
<Relationships xmlns="http://schemas.openxmlformats.org/package/2006/relationships"><Relationship Id="rId26" Type="http://schemas.openxmlformats.org/officeDocument/2006/relationships/image" Target="../media/image108.emf"/><Relationship Id="rId21" Type="http://schemas.openxmlformats.org/officeDocument/2006/relationships/image" Target="../media/image103.emf"/><Relationship Id="rId34" Type="http://schemas.openxmlformats.org/officeDocument/2006/relationships/image" Target="../media/image116.emf"/><Relationship Id="rId42" Type="http://schemas.openxmlformats.org/officeDocument/2006/relationships/image" Target="../media/image124.emf"/><Relationship Id="rId47" Type="http://schemas.openxmlformats.org/officeDocument/2006/relationships/image" Target="../media/image129.emf"/><Relationship Id="rId50" Type="http://schemas.openxmlformats.org/officeDocument/2006/relationships/image" Target="../media/image132.emf"/><Relationship Id="rId55" Type="http://schemas.openxmlformats.org/officeDocument/2006/relationships/image" Target="../media/image137.emf"/><Relationship Id="rId63" Type="http://schemas.openxmlformats.org/officeDocument/2006/relationships/image" Target="../media/image145.emf"/><Relationship Id="rId7" Type="http://schemas.openxmlformats.org/officeDocument/2006/relationships/image" Target="../media/image89.emf"/><Relationship Id="rId2" Type="http://schemas.openxmlformats.org/officeDocument/2006/relationships/image" Target="../media/image84.emf"/><Relationship Id="rId16" Type="http://schemas.openxmlformats.org/officeDocument/2006/relationships/image" Target="../media/image98.emf"/><Relationship Id="rId29" Type="http://schemas.openxmlformats.org/officeDocument/2006/relationships/image" Target="../media/image111.emf"/><Relationship Id="rId11" Type="http://schemas.openxmlformats.org/officeDocument/2006/relationships/image" Target="../media/image93.emf"/><Relationship Id="rId24" Type="http://schemas.openxmlformats.org/officeDocument/2006/relationships/image" Target="../media/image106.emf"/><Relationship Id="rId32" Type="http://schemas.openxmlformats.org/officeDocument/2006/relationships/image" Target="../media/image114.emf"/><Relationship Id="rId37" Type="http://schemas.openxmlformats.org/officeDocument/2006/relationships/image" Target="../media/image119.emf"/><Relationship Id="rId40" Type="http://schemas.openxmlformats.org/officeDocument/2006/relationships/image" Target="../media/image122.emf"/><Relationship Id="rId45" Type="http://schemas.openxmlformats.org/officeDocument/2006/relationships/image" Target="../media/image127.emf"/><Relationship Id="rId53" Type="http://schemas.openxmlformats.org/officeDocument/2006/relationships/image" Target="../media/image135.emf"/><Relationship Id="rId58" Type="http://schemas.openxmlformats.org/officeDocument/2006/relationships/image" Target="../media/image140.emf"/><Relationship Id="rId5" Type="http://schemas.openxmlformats.org/officeDocument/2006/relationships/image" Target="../media/image87.emf"/><Relationship Id="rId61" Type="http://schemas.openxmlformats.org/officeDocument/2006/relationships/image" Target="../media/image143.emf"/><Relationship Id="rId19" Type="http://schemas.openxmlformats.org/officeDocument/2006/relationships/image" Target="../media/image101.emf"/><Relationship Id="rId14" Type="http://schemas.openxmlformats.org/officeDocument/2006/relationships/image" Target="../media/image96.emf"/><Relationship Id="rId22" Type="http://schemas.openxmlformats.org/officeDocument/2006/relationships/image" Target="../media/image104.emf"/><Relationship Id="rId27" Type="http://schemas.openxmlformats.org/officeDocument/2006/relationships/image" Target="../media/image109.emf"/><Relationship Id="rId30" Type="http://schemas.openxmlformats.org/officeDocument/2006/relationships/image" Target="../media/image112.emf"/><Relationship Id="rId35" Type="http://schemas.openxmlformats.org/officeDocument/2006/relationships/image" Target="../media/image117.emf"/><Relationship Id="rId43" Type="http://schemas.openxmlformats.org/officeDocument/2006/relationships/image" Target="../media/image125.emf"/><Relationship Id="rId48" Type="http://schemas.openxmlformats.org/officeDocument/2006/relationships/image" Target="../media/image130.emf"/><Relationship Id="rId56" Type="http://schemas.openxmlformats.org/officeDocument/2006/relationships/image" Target="../media/image138.emf"/><Relationship Id="rId64" Type="http://schemas.openxmlformats.org/officeDocument/2006/relationships/image" Target="../media/image146.emf"/><Relationship Id="rId8" Type="http://schemas.openxmlformats.org/officeDocument/2006/relationships/image" Target="../media/image90.emf"/><Relationship Id="rId51" Type="http://schemas.openxmlformats.org/officeDocument/2006/relationships/image" Target="../media/image133.emf"/><Relationship Id="rId3" Type="http://schemas.openxmlformats.org/officeDocument/2006/relationships/image" Target="../media/image85.emf"/><Relationship Id="rId12" Type="http://schemas.openxmlformats.org/officeDocument/2006/relationships/image" Target="../media/image94.emf"/><Relationship Id="rId17" Type="http://schemas.openxmlformats.org/officeDocument/2006/relationships/image" Target="../media/image99.emf"/><Relationship Id="rId25" Type="http://schemas.openxmlformats.org/officeDocument/2006/relationships/image" Target="../media/image107.emf"/><Relationship Id="rId33" Type="http://schemas.openxmlformats.org/officeDocument/2006/relationships/image" Target="../media/image115.emf"/><Relationship Id="rId38" Type="http://schemas.openxmlformats.org/officeDocument/2006/relationships/image" Target="../media/image120.emf"/><Relationship Id="rId46" Type="http://schemas.openxmlformats.org/officeDocument/2006/relationships/image" Target="../media/image128.emf"/><Relationship Id="rId59" Type="http://schemas.openxmlformats.org/officeDocument/2006/relationships/image" Target="../media/image141.emf"/><Relationship Id="rId20" Type="http://schemas.openxmlformats.org/officeDocument/2006/relationships/image" Target="../media/image102.emf"/><Relationship Id="rId41" Type="http://schemas.openxmlformats.org/officeDocument/2006/relationships/image" Target="../media/image123.emf"/><Relationship Id="rId54" Type="http://schemas.openxmlformats.org/officeDocument/2006/relationships/image" Target="../media/image136.emf"/><Relationship Id="rId62" Type="http://schemas.openxmlformats.org/officeDocument/2006/relationships/image" Target="../media/image144.emf"/><Relationship Id="rId1" Type="http://schemas.openxmlformats.org/officeDocument/2006/relationships/image" Target="../media/image83.emf"/><Relationship Id="rId6" Type="http://schemas.openxmlformats.org/officeDocument/2006/relationships/image" Target="../media/image88.emf"/><Relationship Id="rId15" Type="http://schemas.openxmlformats.org/officeDocument/2006/relationships/image" Target="../media/image97.emf"/><Relationship Id="rId23" Type="http://schemas.openxmlformats.org/officeDocument/2006/relationships/image" Target="../media/image105.emf"/><Relationship Id="rId28" Type="http://schemas.openxmlformats.org/officeDocument/2006/relationships/image" Target="../media/image110.emf"/><Relationship Id="rId36" Type="http://schemas.openxmlformats.org/officeDocument/2006/relationships/image" Target="../media/image118.emf"/><Relationship Id="rId49" Type="http://schemas.openxmlformats.org/officeDocument/2006/relationships/image" Target="../media/image131.emf"/><Relationship Id="rId57" Type="http://schemas.openxmlformats.org/officeDocument/2006/relationships/image" Target="../media/image139.emf"/><Relationship Id="rId10" Type="http://schemas.openxmlformats.org/officeDocument/2006/relationships/image" Target="../media/image92.emf"/><Relationship Id="rId31" Type="http://schemas.openxmlformats.org/officeDocument/2006/relationships/image" Target="../media/image113.emf"/><Relationship Id="rId44" Type="http://schemas.openxmlformats.org/officeDocument/2006/relationships/image" Target="../media/image126.emf"/><Relationship Id="rId52" Type="http://schemas.openxmlformats.org/officeDocument/2006/relationships/image" Target="../media/image134.emf"/><Relationship Id="rId60" Type="http://schemas.openxmlformats.org/officeDocument/2006/relationships/image" Target="../media/image142.emf"/><Relationship Id="rId65" Type="http://schemas.openxmlformats.org/officeDocument/2006/relationships/image" Target="../media/image147.emf"/><Relationship Id="rId4" Type="http://schemas.openxmlformats.org/officeDocument/2006/relationships/image" Target="../media/image86.emf"/><Relationship Id="rId9" Type="http://schemas.openxmlformats.org/officeDocument/2006/relationships/image" Target="../media/image91.emf"/><Relationship Id="rId13" Type="http://schemas.openxmlformats.org/officeDocument/2006/relationships/image" Target="../media/image95.emf"/><Relationship Id="rId18" Type="http://schemas.openxmlformats.org/officeDocument/2006/relationships/image" Target="../media/image100.emf"/><Relationship Id="rId39" Type="http://schemas.openxmlformats.org/officeDocument/2006/relationships/image" Target="../media/image12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0.emf"/><Relationship Id="rId2" Type="http://schemas.openxmlformats.org/officeDocument/2006/relationships/image" Target="../media/image149.emf"/><Relationship Id="rId1" Type="http://schemas.openxmlformats.org/officeDocument/2006/relationships/image" Target="../media/image14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130</xdr:row>
          <xdr:rowOff>0</xdr:rowOff>
        </xdr:from>
        <xdr:to>
          <xdr:col>3</xdr:col>
          <xdr:colOff>180975</xdr:colOff>
          <xdr:row>131</xdr:row>
          <xdr:rowOff>9525</xdr:rowOff>
        </xdr:to>
        <xdr:sp macro="" textlink="">
          <xdr:nvSpPr>
            <xdr:cNvPr id="6176" name="chk_1ApSlough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1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131</xdr:row>
          <xdr:rowOff>9525</xdr:rowOff>
        </xdr:from>
        <xdr:to>
          <xdr:col>3</xdr:col>
          <xdr:colOff>180975</xdr:colOff>
          <xdr:row>132</xdr:row>
          <xdr:rowOff>9525</xdr:rowOff>
        </xdr:to>
        <xdr:sp macro="" textlink="">
          <xdr:nvSpPr>
            <xdr:cNvPr id="6177" name="chk_1ApInfect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1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132</xdr:row>
          <xdr:rowOff>47625</xdr:rowOff>
        </xdr:from>
        <xdr:to>
          <xdr:col>5</xdr:col>
          <xdr:colOff>361950</xdr:colOff>
          <xdr:row>133</xdr:row>
          <xdr:rowOff>47625</xdr:rowOff>
        </xdr:to>
        <xdr:sp macro="" textlink="">
          <xdr:nvSpPr>
            <xdr:cNvPr id="6178" name="chk_1ApGran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1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131</xdr:row>
          <xdr:rowOff>38100</xdr:rowOff>
        </xdr:from>
        <xdr:to>
          <xdr:col>5</xdr:col>
          <xdr:colOff>361950</xdr:colOff>
          <xdr:row>132</xdr:row>
          <xdr:rowOff>38100</xdr:rowOff>
        </xdr:to>
        <xdr:sp macro="" textlink="">
          <xdr:nvSpPr>
            <xdr:cNvPr id="6179" name="chk_1ApEpith" hidden="1">
              <a:extLst>
                <a:ext uri="{63B3BB69-23CF-44E3-9099-C40C66FF867C}">
                  <a14:compatExt spid="_x0000_s6179"/>
                </a:ext>
                <a:ext uri="{FF2B5EF4-FFF2-40B4-BE49-F238E27FC236}">
                  <a16:creationId xmlns:a16="http://schemas.microsoft.com/office/drawing/2014/main" id="{00000000-0008-0000-0100-00002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130</xdr:row>
          <xdr:rowOff>0</xdr:rowOff>
        </xdr:from>
        <xdr:to>
          <xdr:col>10</xdr:col>
          <xdr:colOff>180975</xdr:colOff>
          <xdr:row>131</xdr:row>
          <xdr:rowOff>9525</xdr:rowOff>
        </xdr:to>
        <xdr:sp macro="" textlink="">
          <xdr:nvSpPr>
            <xdr:cNvPr id="6181" name="chk_2ApSlough" hidden="1">
              <a:extLst>
                <a:ext uri="{63B3BB69-23CF-44E3-9099-C40C66FF867C}">
                  <a14:compatExt spid="_x0000_s6181"/>
                </a:ext>
                <a:ext uri="{FF2B5EF4-FFF2-40B4-BE49-F238E27FC236}">
                  <a16:creationId xmlns:a16="http://schemas.microsoft.com/office/drawing/2014/main" id="{00000000-0008-0000-0100-00002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131</xdr:row>
          <xdr:rowOff>19050</xdr:rowOff>
        </xdr:from>
        <xdr:to>
          <xdr:col>10</xdr:col>
          <xdr:colOff>180975</xdr:colOff>
          <xdr:row>132</xdr:row>
          <xdr:rowOff>19050</xdr:rowOff>
        </xdr:to>
        <xdr:sp macro="" textlink="">
          <xdr:nvSpPr>
            <xdr:cNvPr id="6182" name="chk_2ApInfect" hidden="1">
              <a:extLst>
                <a:ext uri="{63B3BB69-23CF-44E3-9099-C40C66FF867C}">
                  <a14:compatExt spid="_x0000_s6182"/>
                </a:ext>
                <a:ext uri="{FF2B5EF4-FFF2-40B4-BE49-F238E27FC236}">
                  <a16:creationId xmlns:a16="http://schemas.microsoft.com/office/drawing/2014/main" id="{00000000-0008-0000-0100-00002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131</xdr:row>
          <xdr:rowOff>38100</xdr:rowOff>
        </xdr:from>
        <xdr:to>
          <xdr:col>12</xdr:col>
          <xdr:colOff>361950</xdr:colOff>
          <xdr:row>132</xdr:row>
          <xdr:rowOff>38100</xdr:rowOff>
        </xdr:to>
        <xdr:sp macro="" textlink="">
          <xdr:nvSpPr>
            <xdr:cNvPr id="6184" name="chk_2ApEpith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1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130</xdr:row>
          <xdr:rowOff>0</xdr:rowOff>
        </xdr:from>
        <xdr:to>
          <xdr:col>17</xdr:col>
          <xdr:colOff>180975</xdr:colOff>
          <xdr:row>131</xdr:row>
          <xdr:rowOff>9525</xdr:rowOff>
        </xdr:to>
        <xdr:sp macro="" textlink="">
          <xdr:nvSpPr>
            <xdr:cNvPr id="6186" name="chk_3ApSlough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1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131</xdr:row>
          <xdr:rowOff>0</xdr:rowOff>
        </xdr:from>
        <xdr:to>
          <xdr:col>17</xdr:col>
          <xdr:colOff>180975</xdr:colOff>
          <xdr:row>132</xdr:row>
          <xdr:rowOff>0</xdr:rowOff>
        </xdr:to>
        <xdr:sp macro="" textlink="">
          <xdr:nvSpPr>
            <xdr:cNvPr id="6187" name="chk_3ApInfect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1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132</xdr:row>
          <xdr:rowOff>38100</xdr:rowOff>
        </xdr:from>
        <xdr:to>
          <xdr:col>19</xdr:col>
          <xdr:colOff>323850</xdr:colOff>
          <xdr:row>133</xdr:row>
          <xdr:rowOff>28575</xdr:rowOff>
        </xdr:to>
        <xdr:sp macro="" textlink="">
          <xdr:nvSpPr>
            <xdr:cNvPr id="6188" name="chk_3ApGran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1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131</xdr:row>
          <xdr:rowOff>19050</xdr:rowOff>
        </xdr:from>
        <xdr:to>
          <xdr:col>19</xdr:col>
          <xdr:colOff>323850</xdr:colOff>
          <xdr:row>132</xdr:row>
          <xdr:rowOff>19050</xdr:rowOff>
        </xdr:to>
        <xdr:sp macro="" textlink="">
          <xdr:nvSpPr>
            <xdr:cNvPr id="6189" name="chk_3ApEpith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1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134</xdr:row>
          <xdr:rowOff>9525</xdr:rowOff>
        </xdr:from>
        <xdr:to>
          <xdr:col>3</xdr:col>
          <xdr:colOff>180975</xdr:colOff>
          <xdr:row>135</xdr:row>
          <xdr:rowOff>9525</xdr:rowOff>
        </xdr:to>
        <xdr:sp macro="" textlink="">
          <xdr:nvSpPr>
            <xdr:cNvPr id="6191" name="chk_1ColRed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1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135</xdr:row>
          <xdr:rowOff>19050</xdr:rowOff>
        </xdr:from>
        <xdr:to>
          <xdr:col>3</xdr:col>
          <xdr:colOff>180975</xdr:colOff>
          <xdr:row>136</xdr:row>
          <xdr:rowOff>19050</xdr:rowOff>
        </xdr:to>
        <xdr:sp macro="" textlink="">
          <xdr:nvSpPr>
            <xdr:cNvPr id="6192" name="chk_1ColYel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1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134</xdr:row>
          <xdr:rowOff>9525</xdr:rowOff>
        </xdr:from>
        <xdr:to>
          <xdr:col>10</xdr:col>
          <xdr:colOff>180975</xdr:colOff>
          <xdr:row>135</xdr:row>
          <xdr:rowOff>9525</xdr:rowOff>
        </xdr:to>
        <xdr:sp macro="" textlink="">
          <xdr:nvSpPr>
            <xdr:cNvPr id="6194" name="chk_2ColRed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1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135</xdr:row>
          <xdr:rowOff>19050</xdr:rowOff>
        </xdr:from>
        <xdr:to>
          <xdr:col>10</xdr:col>
          <xdr:colOff>180975</xdr:colOff>
          <xdr:row>136</xdr:row>
          <xdr:rowOff>19050</xdr:rowOff>
        </xdr:to>
        <xdr:sp macro="" textlink="">
          <xdr:nvSpPr>
            <xdr:cNvPr id="6195" name="chk_2ColYel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1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134</xdr:row>
          <xdr:rowOff>9525</xdr:rowOff>
        </xdr:from>
        <xdr:to>
          <xdr:col>17</xdr:col>
          <xdr:colOff>180975</xdr:colOff>
          <xdr:row>135</xdr:row>
          <xdr:rowOff>9525</xdr:rowOff>
        </xdr:to>
        <xdr:sp macro="" textlink="">
          <xdr:nvSpPr>
            <xdr:cNvPr id="6197" name="chk_3ColRed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1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135</xdr:row>
          <xdr:rowOff>19050</xdr:rowOff>
        </xdr:from>
        <xdr:to>
          <xdr:col>17</xdr:col>
          <xdr:colOff>180975</xdr:colOff>
          <xdr:row>136</xdr:row>
          <xdr:rowOff>19050</xdr:rowOff>
        </xdr:to>
        <xdr:sp macro="" textlink="">
          <xdr:nvSpPr>
            <xdr:cNvPr id="6198" name="chk_3ColYel" hidden="1">
              <a:extLst>
                <a:ext uri="{63B3BB69-23CF-44E3-9099-C40C66FF867C}">
                  <a14:compatExt spid="_x0000_s6198"/>
                </a:ext>
                <a:ext uri="{FF2B5EF4-FFF2-40B4-BE49-F238E27FC236}">
                  <a16:creationId xmlns:a16="http://schemas.microsoft.com/office/drawing/2014/main" id="{00000000-0008-0000-0100-00003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130</xdr:row>
          <xdr:rowOff>0</xdr:rowOff>
        </xdr:from>
        <xdr:to>
          <xdr:col>5</xdr:col>
          <xdr:colOff>361950</xdr:colOff>
          <xdr:row>131</xdr:row>
          <xdr:rowOff>9525</xdr:rowOff>
        </xdr:to>
        <xdr:sp macro="" textlink="">
          <xdr:nvSpPr>
            <xdr:cNvPr id="6240" name="CheckBox11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1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130</xdr:row>
          <xdr:rowOff>0</xdr:rowOff>
        </xdr:from>
        <xdr:to>
          <xdr:col>12</xdr:col>
          <xdr:colOff>361950</xdr:colOff>
          <xdr:row>131</xdr:row>
          <xdr:rowOff>9525</xdr:rowOff>
        </xdr:to>
        <xdr:sp macro="" textlink="">
          <xdr:nvSpPr>
            <xdr:cNvPr id="6250" name="CheckBox17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100-00006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130</xdr:row>
          <xdr:rowOff>9525</xdr:rowOff>
        </xdr:from>
        <xdr:to>
          <xdr:col>19</xdr:col>
          <xdr:colOff>323850</xdr:colOff>
          <xdr:row>131</xdr:row>
          <xdr:rowOff>28575</xdr:rowOff>
        </xdr:to>
        <xdr:sp macro="" textlink="">
          <xdr:nvSpPr>
            <xdr:cNvPr id="6260" name="chk_3ApInfl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1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54</xdr:row>
          <xdr:rowOff>28575</xdr:rowOff>
        </xdr:from>
        <xdr:to>
          <xdr:col>12</xdr:col>
          <xdr:colOff>142875</xdr:colOff>
          <xdr:row>54</xdr:row>
          <xdr:rowOff>219075</xdr:rowOff>
        </xdr:to>
        <xdr:sp macro="" textlink="">
          <xdr:nvSpPr>
            <xdr:cNvPr id="6264" name="ChkDiab" hidden="1">
              <a:extLst>
                <a:ext uri="{63B3BB69-23CF-44E3-9099-C40C66FF867C}">
                  <a14:compatExt spid="_x0000_s6264"/>
                </a:ext>
                <a:ext uri="{FF2B5EF4-FFF2-40B4-BE49-F238E27FC236}">
                  <a16:creationId xmlns:a16="http://schemas.microsoft.com/office/drawing/2014/main" id="{00000000-0008-0000-0100-00007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54</xdr:row>
          <xdr:rowOff>28575</xdr:rowOff>
        </xdr:from>
        <xdr:to>
          <xdr:col>19</xdr:col>
          <xdr:colOff>161925</xdr:colOff>
          <xdr:row>54</xdr:row>
          <xdr:rowOff>238125</xdr:rowOff>
        </xdr:to>
        <xdr:sp macro="" textlink="">
          <xdr:nvSpPr>
            <xdr:cNvPr id="6266" name="ChkMCS" hidden="1">
              <a:extLst>
                <a:ext uri="{63B3BB69-23CF-44E3-9099-C40C66FF867C}">
                  <a14:compatExt spid="_x0000_s6266"/>
                </a:ext>
                <a:ext uri="{FF2B5EF4-FFF2-40B4-BE49-F238E27FC236}">
                  <a16:creationId xmlns:a16="http://schemas.microsoft.com/office/drawing/2014/main" id="{00000000-0008-0000-0100-00007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132</xdr:row>
          <xdr:rowOff>57150</xdr:rowOff>
        </xdr:from>
        <xdr:to>
          <xdr:col>12</xdr:col>
          <xdr:colOff>361950</xdr:colOff>
          <xdr:row>133</xdr:row>
          <xdr:rowOff>47625</xdr:rowOff>
        </xdr:to>
        <xdr:sp macro="" textlink="">
          <xdr:nvSpPr>
            <xdr:cNvPr id="6278" name="CheckBox30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1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69</xdr:row>
          <xdr:rowOff>9525</xdr:rowOff>
        </xdr:from>
        <xdr:to>
          <xdr:col>3</xdr:col>
          <xdr:colOff>200025</xdr:colOff>
          <xdr:row>69</xdr:row>
          <xdr:rowOff>219075</xdr:rowOff>
        </xdr:to>
        <xdr:sp macro="" textlink="">
          <xdr:nvSpPr>
            <xdr:cNvPr id="6282" name="CheckBox2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100-00008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67</xdr:row>
          <xdr:rowOff>28575</xdr:rowOff>
        </xdr:from>
        <xdr:to>
          <xdr:col>3</xdr:col>
          <xdr:colOff>200025</xdr:colOff>
          <xdr:row>67</xdr:row>
          <xdr:rowOff>238125</xdr:rowOff>
        </xdr:to>
        <xdr:sp macro="" textlink="">
          <xdr:nvSpPr>
            <xdr:cNvPr id="6289" name="CheckBox1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1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66</xdr:row>
          <xdr:rowOff>28575</xdr:rowOff>
        </xdr:from>
        <xdr:to>
          <xdr:col>3</xdr:col>
          <xdr:colOff>200025</xdr:colOff>
          <xdr:row>67</xdr:row>
          <xdr:rowOff>9525</xdr:rowOff>
        </xdr:to>
        <xdr:sp macro="" textlink="">
          <xdr:nvSpPr>
            <xdr:cNvPr id="6295" name="CheckBox8" hidden="1">
              <a:extLst>
                <a:ext uri="{63B3BB69-23CF-44E3-9099-C40C66FF867C}">
                  <a14:compatExt spid="_x0000_s6295"/>
                </a:ext>
                <a:ext uri="{FF2B5EF4-FFF2-40B4-BE49-F238E27FC236}">
                  <a16:creationId xmlns:a16="http://schemas.microsoft.com/office/drawing/2014/main" id="{00000000-0008-0000-0100-00009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68</xdr:row>
          <xdr:rowOff>19050</xdr:rowOff>
        </xdr:from>
        <xdr:to>
          <xdr:col>3</xdr:col>
          <xdr:colOff>200025</xdr:colOff>
          <xdr:row>68</xdr:row>
          <xdr:rowOff>228600</xdr:rowOff>
        </xdr:to>
        <xdr:sp macro="" textlink="">
          <xdr:nvSpPr>
            <xdr:cNvPr id="6296" name="CheckBox9" hidden="1">
              <a:extLst>
                <a:ext uri="{63B3BB69-23CF-44E3-9099-C40C66FF867C}">
                  <a14:compatExt spid="_x0000_s6296"/>
                </a:ext>
                <a:ext uri="{FF2B5EF4-FFF2-40B4-BE49-F238E27FC236}">
                  <a16:creationId xmlns:a16="http://schemas.microsoft.com/office/drawing/2014/main" id="{00000000-0008-0000-0100-00009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75</xdr:row>
          <xdr:rowOff>9525</xdr:rowOff>
        </xdr:from>
        <xdr:to>
          <xdr:col>3</xdr:col>
          <xdr:colOff>200025</xdr:colOff>
          <xdr:row>75</xdr:row>
          <xdr:rowOff>219075</xdr:rowOff>
        </xdr:to>
        <xdr:sp macro="" textlink="">
          <xdr:nvSpPr>
            <xdr:cNvPr id="6298" name="CheckBox7" hidden="1">
              <a:extLst>
                <a:ext uri="{63B3BB69-23CF-44E3-9099-C40C66FF867C}">
                  <a14:compatExt spid="_x0000_s6298"/>
                </a:ext>
                <a:ext uri="{FF2B5EF4-FFF2-40B4-BE49-F238E27FC236}">
                  <a16:creationId xmlns:a16="http://schemas.microsoft.com/office/drawing/2014/main" id="{00000000-0008-0000-0100-00009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73</xdr:row>
          <xdr:rowOff>28575</xdr:rowOff>
        </xdr:from>
        <xdr:to>
          <xdr:col>3</xdr:col>
          <xdr:colOff>200025</xdr:colOff>
          <xdr:row>73</xdr:row>
          <xdr:rowOff>238125</xdr:rowOff>
        </xdr:to>
        <xdr:sp macro="" textlink="">
          <xdr:nvSpPr>
            <xdr:cNvPr id="6299" name="CheckBox10" hidden="1">
              <a:extLst>
                <a:ext uri="{63B3BB69-23CF-44E3-9099-C40C66FF867C}">
                  <a14:compatExt spid="_x0000_s6299"/>
                </a:ext>
                <a:ext uri="{FF2B5EF4-FFF2-40B4-BE49-F238E27FC236}">
                  <a16:creationId xmlns:a16="http://schemas.microsoft.com/office/drawing/2014/main" id="{00000000-0008-0000-0100-00009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72</xdr:row>
          <xdr:rowOff>28575</xdr:rowOff>
        </xdr:from>
        <xdr:to>
          <xdr:col>3</xdr:col>
          <xdr:colOff>200025</xdr:colOff>
          <xdr:row>73</xdr:row>
          <xdr:rowOff>9525</xdr:rowOff>
        </xdr:to>
        <xdr:sp macro="" textlink="">
          <xdr:nvSpPr>
            <xdr:cNvPr id="6300" name="CheckBox12" hidden="1">
              <a:extLst>
                <a:ext uri="{63B3BB69-23CF-44E3-9099-C40C66FF867C}">
                  <a14:compatExt spid="_x0000_s6300"/>
                </a:ext>
                <a:ext uri="{FF2B5EF4-FFF2-40B4-BE49-F238E27FC236}">
                  <a16:creationId xmlns:a16="http://schemas.microsoft.com/office/drawing/2014/main" id="{00000000-0008-0000-0100-00009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74</xdr:row>
          <xdr:rowOff>19050</xdr:rowOff>
        </xdr:from>
        <xdr:to>
          <xdr:col>3</xdr:col>
          <xdr:colOff>200025</xdr:colOff>
          <xdr:row>74</xdr:row>
          <xdr:rowOff>228600</xdr:rowOff>
        </xdr:to>
        <xdr:sp macro="" textlink="">
          <xdr:nvSpPr>
            <xdr:cNvPr id="6301" name="CheckBox13" hidden="1">
              <a:extLst>
                <a:ext uri="{63B3BB69-23CF-44E3-9099-C40C66FF867C}">
                  <a14:compatExt spid="_x0000_s6301"/>
                </a:ext>
                <a:ext uri="{FF2B5EF4-FFF2-40B4-BE49-F238E27FC236}">
                  <a16:creationId xmlns:a16="http://schemas.microsoft.com/office/drawing/2014/main" id="{00000000-0008-0000-0100-00009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77</xdr:row>
          <xdr:rowOff>9525</xdr:rowOff>
        </xdr:from>
        <xdr:to>
          <xdr:col>3</xdr:col>
          <xdr:colOff>200025</xdr:colOff>
          <xdr:row>77</xdr:row>
          <xdr:rowOff>219075</xdr:rowOff>
        </xdr:to>
        <xdr:sp macro="" textlink="">
          <xdr:nvSpPr>
            <xdr:cNvPr id="6302" name="CheckBox14" hidden="1">
              <a:extLst>
                <a:ext uri="{63B3BB69-23CF-44E3-9099-C40C66FF867C}">
                  <a14:compatExt spid="_x0000_s6302"/>
                </a:ext>
                <a:ext uri="{FF2B5EF4-FFF2-40B4-BE49-F238E27FC236}">
                  <a16:creationId xmlns:a16="http://schemas.microsoft.com/office/drawing/2014/main" id="{00000000-0008-0000-0100-00009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76</xdr:row>
          <xdr:rowOff>19050</xdr:rowOff>
        </xdr:from>
        <xdr:to>
          <xdr:col>3</xdr:col>
          <xdr:colOff>200025</xdr:colOff>
          <xdr:row>76</xdr:row>
          <xdr:rowOff>228600</xdr:rowOff>
        </xdr:to>
        <xdr:sp macro="" textlink="">
          <xdr:nvSpPr>
            <xdr:cNvPr id="6303" name="CheckBox15" hidden="1">
              <a:extLst>
                <a:ext uri="{63B3BB69-23CF-44E3-9099-C40C66FF867C}">
                  <a14:compatExt spid="_x0000_s6303"/>
                </a:ext>
                <a:ext uri="{FF2B5EF4-FFF2-40B4-BE49-F238E27FC236}">
                  <a16:creationId xmlns:a16="http://schemas.microsoft.com/office/drawing/2014/main" id="{00000000-0008-0000-0100-00009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78</xdr:row>
          <xdr:rowOff>9525</xdr:rowOff>
        </xdr:from>
        <xdr:to>
          <xdr:col>3</xdr:col>
          <xdr:colOff>200025</xdr:colOff>
          <xdr:row>78</xdr:row>
          <xdr:rowOff>219075</xdr:rowOff>
        </xdr:to>
        <xdr:sp macro="" textlink="">
          <xdr:nvSpPr>
            <xdr:cNvPr id="6306" name="CheckBox16" hidden="1">
              <a:extLst>
                <a:ext uri="{63B3BB69-23CF-44E3-9099-C40C66FF867C}">
                  <a14:compatExt spid="_x0000_s6306"/>
                </a:ext>
                <a:ext uri="{FF2B5EF4-FFF2-40B4-BE49-F238E27FC236}">
                  <a16:creationId xmlns:a16="http://schemas.microsoft.com/office/drawing/2014/main" id="{00000000-0008-0000-0100-0000A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81</xdr:row>
          <xdr:rowOff>9525</xdr:rowOff>
        </xdr:from>
        <xdr:to>
          <xdr:col>3</xdr:col>
          <xdr:colOff>200025</xdr:colOff>
          <xdr:row>82</xdr:row>
          <xdr:rowOff>9525</xdr:rowOff>
        </xdr:to>
        <xdr:sp macro="" textlink="">
          <xdr:nvSpPr>
            <xdr:cNvPr id="6308" name="CheckBox3" hidden="1">
              <a:extLst>
                <a:ext uri="{63B3BB69-23CF-44E3-9099-C40C66FF867C}">
                  <a14:compatExt spid="_x0000_s6308"/>
                </a:ext>
                <a:ext uri="{FF2B5EF4-FFF2-40B4-BE49-F238E27FC236}">
                  <a16:creationId xmlns:a16="http://schemas.microsoft.com/office/drawing/2014/main" id="{00000000-0008-0000-0100-0000A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83</xdr:row>
          <xdr:rowOff>9525</xdr:rowOff>
        </xdr:from>
        <xdr:to>
          <xdr:col>3</xdr:col>
          <xdr:colOff>200025</xdr:colOff>
          <xdr:row>84</xdr:row>
          <xdr:rowOff>9525</xdr:rowOff>
        </xdr:to>
        <xdr:sp macro="" textlink="">
          <xdr:nvSpPr>
            <xdr:cNvPr id="6309" name="CheckBox4" hidden="1">
              <a:extLst>
                <a:ext uri="{63B3BB69-23CF-44E3-9099-C40C66FF867C}">
                  <a14:compatExt spid="_x0000_s6309"/>
                </a:ext>
                <a:ext uri="{FF2B5EF4-FFF2-40B4-BE49-F238E27FC236}">
                  <a16:creationId xmlns:a16="http://schemas.microsoft.com/office/drawing/2014/main" id="{00000000-0008-0000-0100-0000A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175</xdr:row>
          <xdr:rowOff>0</xdr:rowOff>
        </xdr:from>
        <xdr:to>
          <xdr:col>3</xdr:col>
          <xdr:colOff>180975</xdr:colOff>
          <xdr:row>176</xdr:row>
          <xdr:rowOff>9525</xdr:rowOff>
        </xdr:to>
        <xdr:sp macro="" textlink="">
          <xdr:nvSpPr>
            <xdr:cNvPr id="6311" name="CheckBox5" hidden="1">
              <a:extLst>
                <a:ext uri="{63B3BB69-23CF-44E3-9099-C40C66FF867C}">
                  <a14:compatExt spid="_x0000_s6311"/>
                </a:ext>
                <a:ext uri="{FF2B5EF4-FFF2-40B4-BE49-F238E27FC236}">
                  <a16:creationId xmlns:a16="http://schemas.microsoft.com/office/drawing/2014/main" id="{00000000-0008-0000-0100-0000A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176</xdr:row>
          <xdr:rowOff>9525</xdr:rowOff>
        </xdr:from>
        <xdr:to>
          <xdr:col>3</xdr:col>
          <xdr:colOff>180975</xdr:colOff>
          <xdr:row>177</xdr:row>
          <xdr:rowOff>9525</xdr:rowOff>
        </xdr:to>
        <xdr:sp macro="" textlink="">
          <xdr:nvSpPr>
            <xdr:cNvPr id="6312" name="CheckBox6" hidden="1">
              <a:extLst>
                <a:ext uri="{63B3BB69-23CF-44E3-9099-C40C66FF867C}">
                  <a14:compatExt spid="_x0000_s6312"/>
                </a:ext>
                <a:ext uri="{FF2B5EF4-FFF2-40B4-BE49-F238E27FC236}">
                  <a16:creationId xmlns:a16="http://schemas.microsoft.com/office/drawing/2014/main" id="{00000000-0008-0000-0100-0000A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177</xdr:row>
          <xdr:rowOff>47625</xdr:rowOff>
        </xdr:from>
        <xdr:to>
          <xdr:col>5</xdr:col>
          <xdr:colOff>361950</xdr:colOff>
          <xdr:row>178</xdr:row>
          <xdr:rowOff>47625</xdr:rowOff>
        </xdr:to>
        <xdr:sp macro="" textlink="">
          <xdr:nvSpPr>
            <xdr:cNvPr id="6313" name="CheckBox18" hidden="1">
              <a:extLst>
                <a:ext uri="{63B3BB69-23CF-44E3-9099-C40C66FF867C}">
                  <a14:compatExt spid="_x0000_s6313"/>
                </a:ext>
                <a:ext uri="{FF2B5EF4-FFF2-40B4-BE49-F238E27FC236}">
                  <a16:creationId xmlns:a16="http://schemas.microsoft.com/office/drawing/2014/main" id="{00000000-0008-0000-0100-0000A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176</xdr:row>
          <xdr:rowOff>19050</xdr:rowOff>
        </xdr:from>
        <xdr:to>
          <xdr:col>5</xdr:col>
          <xdr:colOff>361950</xdr:colOff>
          <xdr:row>177</xdr:row>
          <xdr:rowOff>19050</xdr:rowOff>
        </xdr:to>
        <xdr:sp macro="" textlink="">
          <xdr:nvSpPr>
            <xdr:cNvPr id="6314" name="CheckBox19" hidden="1">
              <a:extLst>
                <a:ext uri="{63B3BB69-23CF-44E3-9099-C40C66FF867C}">
                  <a14:compatExt spid="_x0000_s6314"/>
                </a:ext>
                <a:ext uri="{FF2B5EF4-FFF2-40B4-BE49-F238E27FC236}">
                  <a16:creationId xmlns:a16="http://schemas.microsoft.com/office/drawing/2014/main" id="{00000000-0008-0000-0100-0000A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175</xdr:row>
          <xdr:rowOff>0</xdr:rowOff>
        </xdr:from>
        <xdr:to>
          <xdr:col>10</xdr:col>
          <xdr:colOff>180975</xdr:colOff>
          <xdr:row>176</xdr:row>
          <xdr:rowOff>9525</xdr:rowOff>
        </xdr:to>
        <xdr:sp macro="" textlink="">
          <xdr:nvSpPr>
            <xdr:cNvPr id="6315" name="CheckBox20" hidden="1">
              <a:extLst>
                <a:ext uri="{63B3BB69-23CF-44E3-9099-C40C66FF867C}">
                  <a14:compatExt spid="_x0000_s6315"/>
                </a:ext>
                <a:ext uri="{FF2B5EF4-FFF2-40B4-BE49-F238E27FC236}">
                  <a16:creationId xmlns:a16="http://schemas.microsoft.com/office/drawing/2014/main" id="{00000000-0008-0000-0100-0000A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176</xdr:row>
          <xdr:rowOff>19050</xdr:rowOff>
        </xdr:from>
        <xdr:to>
          <xdr:col>10</xdr:col>
          <xdr:colOff>180975</xdr:colOff>
          <xdr:row>177</xdr:row>
          <xdr:rowOff>19050</xdr:rowOff>
        </xdr:to>
        <xdr:sp macro="" textlink="">
          <xdr:nvSpPr>
            <xdr:cNvPr id="6316" name="CheckBox21" hidden="1">
              <a:extLst>
                <a:ext uri="{63B3BB69-23CF-44E3-9099-C40C66FF867C}">
                  <a14:compatExt spid="_x0000_s6316"/>
                </a:ext>
                <a:ext uri="{FF2B5EF4-FFF2-40B4-BE49-F238E27FC236}">
                  <a16:creationId xmlns:a16="http://schemas.microsoft.com/office/drawing/2014/main" id="{00000000-0008-0000-0100-0000A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176</xdr:row>
          <xdr:rowOff>19050</xdr:rowOff>
        </xdr:from>
        <xdr:to>
          <xdr:col>12</xdr:col>
          <xdr:colOff>361950</xdr:colOff>
          <xdr:row>177</xdr:row>
          <xdr:rowOff>19050</xdr:rowOff>
        </xdr:to>
        <xdr:sp macro="" textlink="">
          <xdr:nvSpPr>
            <xdr:cNvPr id="6317" name="CheckBox22" hidden="1">
              <a:extLst>
                <a:ext uri="{63B3BB69-23CF-44E3-9099-C40C66FF867C}">
                  <a14:compatExt spid="_x0000_s6317"/>
                </a:ext>
                <a:ext uri="{FF2B5EF4-FFF2-40B4-BE49-F238E27FC236}">
                  <a16:creationId xmlns:a16="http://schemas.microsoft.com/office/drawing/2014/main" id="{00000000-0008-0000-0100-0000A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175</xdr:row>
          <xdr:rowOff>0</xdr:rowOff>
        </xdr:from>
        <xdr:to>
          <xdr:col>17</xdr:col>
          <xdr:colOff>180975</xdr:colOff>
          <xdr:row>176</xdr:row>
          <xdr:rowOff>9525</xdr:rowOff>
        </xdr:to>
        <xdr:sp macro="" textlink="">
          <xdr:nvSpPr>
            <xdr:cNvPr id="6318" name="CheckBox23" hidden="1">
              <a:extLst>
                <a:ext uri="{63B3BB69-23CF-44E3-9099-C40C66FF867C}">
                  <a14:compatExt spid="_x0000_s6318"/>
                </a:ext>
                <a:ext uri="{FF2B5EF4-FFF2-40B4-BE49-F238E27FC236}">
                  <a16:creationId xmlns:a16="http://schemas.microsoft.com/office/drawing/2014/main" id="{00000000-0008-0000-0100-0000A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176</xdr:row>
          <xdr:rowOff>0</xdr:rowOff>
        </xdr:from>
        <xdr:to>
          <xdr:col>17</xdr:col>
          <xdr:colOff>180975</xdr:colOff>
          <xdr:row>177</xdr:row>
          <xdr:rowOff>0</xdr:rowOff>
        </xdr:to>
        <xdr:sp macro="" textlink="">
          <xdr:nvSpPr>
            <xdr:cNvPr id="6319" name="CheckBox24" hidden="1">
              <a:extLst>
                <a:ext uri="{63B3BB69-23CF-44E3-9099-C40C66FF867C}">
                  <a14:compatExt spid="_x0000_s6319"/>
                </a:ext>
                <a:ext uri="{FF2B5EF4-FFF2-40B4-BE49-F238E27FC236}">
                  <a16:creationId xmlns:a16="http://schemas.microsoft.com/office/drawing/2014/main" id="{00000000-0008-0000-0100-0000A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177</xdr:row>
          <xdr:rowOff>38100</xdr:rowOff>
        </xdr:from>
        <xdr:to>
          <xdr:col>19</xdr:col>
          <xdr:colOff>323850</xdr:colOff>
          <xdr:row>178</xdr:row>
          <xdr:rowOff>28575</xdr:rowOff>
        </xdr:to>
        <xdr:sp macro="" textlink="">
          <xdr:nvSpPr>
            <xdr:cNvPr id="6320" name="CheckBox25" hidden="1">
              <a:extLst>
                <a:ext uri="{63B3BB69-23CF-44E3-9099-C40C66FF867C}">
                  <a14:compatExt spid="_x0000_s6320"/>
                </a:ext>
                <a:ext uri="{FF2B5EF4-FFF2-40B4-BE49-F238E27FC236}">
                  <a16:creationId xmlns:a16="http://schemas.microsoft.com/office/drawing/2014/main" id="{00000000-0008-0000-0100-0000B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176</xdr:row>
          <xdr:rowOff>19050</xdr:rowOff>
        </xdr:from>
        <xdr:to>
          <xdr:col>19</xdr:col>
          <xdr:colOff>323850</xdr:colOff>
          <xdr:row>177</xdr:row>
          <xdr:rowOff>19050</xdr:rowOff>
        </xdr:to>
        <xdr:sp macro="" textlink="">
          <xdr:nvSpPr>
            <xdr:cNvPr id="6321" name="CheckBox26" hidden="1">
              <a:extLst>
                <a:ext uri="{63B3BB69-23CF-44E3-9099-C40C66FF867C}">
                  <a14:compatExt spid="_x0000_s6321"/>
                </a:ext>
                <a:ext uri="{FF2B5EF4-FFF2-40B4-BE49-F238E27FC236}">
                  <a16:creationId xmlns:a16="http://schemas.microsoft.com/office/drawing/2014/main" id="{00000000-0008-0000-0100-0000B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179</xdr:row>
          <xdr:rowOff>9525</xdr:rowOff>
        </xdr:from>
        <xdr:to>
          <xdr:col>3</xdr:col>
          <xdr:colOff>180975</xdr:colOff>
          <xdr:row>180</xdr:row>
          <xdr:rowOff>9525</xdr:rowOff>
        </xdr:to>
        <xdr:sp macro="" textlink="">
          <xdr:nvSpPr>
            <xdr:cNvPr id="6322" name="CheckBox27" hidden="1">
              <a:extLst>
                <a:ext uri="{63B3BB69-23CF-44E3-9099-C40C66FF867C}">
                  <a14:compatExt spid="_x0000_s6322"/>
                </a:ext>
                <a:ext uri="{FF2B5EF4-FFF2-40B4-BE49-F238E27FC236}">
                  <a16:creationId xmlns:a16="http://schemas.microsoft.com/office/drawing/2014/main" id="{00000000-0008-0000-0100-0000B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180</xdr:row>
          <xdr:rowOff>19050</xdr:rowOff>
        </xdr:from>
        <xdr:to>
          <xdr:col>3</xdr:col>
          <xdr:colOff>180975</xdr:colOff>
          <xdr:row>181</xdr:row>
          <xdr:rowOff>19050</xdr:rowOff>
        </xdr:to>
        <xdr:sp macro="" textlink="">
          <xdr:nvSpPr>
            <xdr:cNvPr id="6323" name="CheckBox28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1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179</xdr:row>
          <xdr:rowOff>9525</xdr:rowOff>
        </xdr:from>
        <xdr:to>
          <xdr:col>10</xdr:col>
          <xdr:colOff>180975</xdr:colOff>
          <xdr:row>180</xdr:row>
          <xdr:rowOff>9525</xdr:rowOff>
        </xdr:to>
        <xdr:sp macro="" textlink="">
          <xdr:nvSpPr>
            <xdr:cNvPr id="6324" name="CheckBox29" hidden="1">
              <a:extLst>
                <a:ext uri="{63B3BB69-23CF-44E3-9099-C40C66FF867C}">
                  <a14:compatExt spid="_x0000_s6324"/>
                </a:ext>
                <a:ext uri="{FF2B5EF4-FFF2-40B4-BE49-F238E27FC236}">
                  <a16:creationId xmlns:a16="http://schemas.microsoft.com/office/drawing/2014/main" id="{00000000-0008-0000-0100-0000B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180</xdr:row>
          <xdr:rowOff>19050</xdr:rowOff>
        </xdr:from>
        <xdr:to>
          <xdr:col>10</xdr:col>
          <xdr:colOff>180975</xdr:colOff>
          <xdr:row>181</xdr:row>
          <xdr:rowOff>19050</xdr:rowOff>
        </xdr:to>
        <xdr:sp macro="" textlink="">
          <xdr:nvSpPr>
            <xdr:cNvPr id="6325" name="CheckBox31" hidden="1">
              <a:extLst>
                <a:ext uri="{63B3BB69-23CF-44E3-9099-C40C66FF867C}">
                  <a14:compatExt spid="_x0000_s6325"/>
                </a:ext>
                <a:ext uri="{FF2B5EF4-FFF2-40B4-BE49-F238E27FC236}">
                  <a16:creationId xmlns:a16="http://schemas.microsoft.com/office/drawing/2014/main" id="{00000000-0008-0000-0100-0000B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179</xdr:row>
          <xdr:rowOff>9525</xdr:rowOff>
        </xdr:from>
        <xdr:to>
          <xdr:col>17</xdr:col>
          <xdr:colOff>180975</xdr:colOff>
          <xdr:row>180</xdr:row>
          <xdr:rowOff>9525</xdr:rowOff>
        </xdr:to>
        <xdr:sp macro="" textlink="">
          <xdr:nvSpPr>
            <xdr:cNvPr id="6326" name="CheckBox32" hidden="1">
              <a:extLst>
                <a:ext uri="{63B3BB69-23CF-44E3-9099-C40C66FF867C}">
                  <a14:compatExt spid="_x0000_s6326"/>
                </a:ext>
                <a:ext uri="{FF2B5EF4-FFF2-40B4-BE49-F238E27FC236}">
                  <a16:creationId xmlns:a16="http://schemas.microsoft.com/office/drawing/2014/main" id="{00000000-0008-0000-0100-0000B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180</xdr:row>
          <xdr:rowOff>19050</xdr:rowOff>
        </xdr:from>
        <xdr:to>
          <xdr:col>17</xdr:col>
          <xdr:colOff>180975</xdr:colOff>
          <xdr:row>181</xdr:row>
          <xdr:rowOff>19050</xdr:rowOff>
        </xdr:to>
        <xdr:sp macro="" textlink="">
          <xdr:nvSpPr>
            <xdr:cNvPr id="6327" name="CheckBox3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1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175</xdr:row>
          <xdr:rowOff>0</xdr:rowOff>
        </xdr:from>
        <xdr:to>
          <xdr:col>5</xdr:col>
          <xdr:colOff>361950</xdr:colOff>
          <xdr:row>176</xdr:row>
          <xdr:rowOff>9525</xdr:rowOff>
        </xdr:to>
        <xdr:sp macro="" textlink="">
          <xdr:nvSpPr>
            <xdr:cNvPr id="6328" name="CheckBox34" hidden="1">
              <a:extLst>
                <a:ext uri="{63B3BB69-23CF-44E3-9099-C40C66FF867C}">
                  <a14:compatExt spid="_x0000_s6328"/>
                </a:ext>
                <a:ext uri="{FF2B5EF4-FFF2-40B4-BE49-F238E27FC236}">
                  <a16:creationId xmlns:a16="http://schemas.microsoft.com/office/drawing/2014/main" id="{00000000-0008-0000-0100-0000B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175</xdr:row>
          <xdr:rowOff>0</xdr:rowOff>
        </xdr:from>
        <xdr:to>
          <xdr:col>12</xdr:col>
          <xdr:colOff>361950</xdr:colOff>
          <xdr:row>176</xdr:row>
          <xdr:rowOff>9525</xdr:rowOff>
        </xdr:to>
        <xdr:sp macro="" textlink="">
          <xdr:nvSpPr>
            <xdr:cNvPr id="6329" name="CheckBox35" hidden="1">
              <a:extLst>
                <a:ext uri="{63B3BB69-23CF-44E3-9099-C40C66FF867C}">
                  <a14:compatExt spid="_x0000_s6329"/>
                </a:ext>
                <a:ext uri="{FF2B5EF4-FFF2-40B4-BE49-F238E27FC236}">
                  <a16:creationId xmlns:a16="http://schemas.microsoft.com/office/drawing/2014/main" id="{00000000-0008-0000-0100-0000B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175</xdr:row>
          <xdr:rowOff>9525</xdr:rowOff>
        </xdr:from>
        <xdr:to>
          <xdr:col>19</xdr:col>
          <xdr:colOff>323850</xdr:colOff>
          <xdr:row>176</xdr:row>
          <xdr:rowOff>28575</xdr:rowOff>
        </xdr:to>
        <xdr:sp macro="" textlink="">
          <xdr:nvSpPr>
            <xdr:cNvPr id="6330" name="CheckBox36" hidden="1">
              <a:extLst>
                <a:ext uri="{63B3BB69-23CF-44E3-9099-C40C66FF867C}">
                  <a14:compatExt spid="_x0000_s6330"/>
                </a:ext>
                <a:ext uri="{FF2B5EF4-FFF2-40B4-BE49-F238E27FC236}">
                  <a16:creationId xmlns:a16="http://schemas.microsoft.com/office/drawing/2014/main" id="{00000000-0008-0000-0100-0000B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177</xdr:row>
          <xdr:rowOff>57150</xdr:rowOff>
        </xdr:from>
        <xdr:to>
          <xdr:col>12</xdr:col>
          <xdr:colOff>361950</xdr:colOff>
          <xdr:row>178</xdr:row>
          <xdr:rowOff>47625</xdr:rowOff>
        </xdr:to>
        <xdr:sp macro="" textlink="">
          <xdr:nvSpPr>
            <xdr:cNvPr id="6331" name="CheckBox37" hidden="1">
              <a:extLst>
                <a:ext uri="{63B3BB69-23CF-44E3-9099-C40C66FF867C}">
                  <a14:compatExt spid="_x0000_s6331"/>
                </a:ext>
                <a:ext uri="{FF2B5EF4-FFF2-40B4-BE49-F238E27FC236}">
                  <a16:creationId xmlns:a16="http://schemas.microsoft.com/office/drawing/2014/main" id="{00000000-0008-0000-0100-0000B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220</xdr:row>
          <xdr:rowOff>0</xdr:rowOff>
        </xdr:from>
        <xdr:to>
          <xdr:col>3</xdr:col>
          <xdr:colOff>180975</xdr:colOff>
          <xdr:row>221</xdr:row>
          <xdr:rowOff>9525</xdr:rowOff>
        </xdr:to>
        <xdr:sp macro="" textlink="">
          <xdr:nvSpPr>
            <xdr:cNvPr id="6332" name="CheckBox38" hidden="1">
              <a:extLst>
                <a:ext uri="{63B3BB69-23CF-44E3-9099-C40C66FF867C}">
                  <a14:compatExt spid="_x0000_s6332"/>
                </a:ext>
                <a:ext uri="{FF2B5EF4-FFF2-40B4-BE49-F238E27FC236}">
                  <a16:creationId xmlns:a16="http://schemas.microsoft.com/office/drawing/2014/main" id="{00000000-0008-0000-0100-0000B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221</xdr:row>
          <xdr:rowOff>9525</xdr:rowOff>
        </xdr:from>
        <xdr:to>
          <xdr:col>3</xdr:col>
          <xdr:colOff>180975</xdr:colOff>
          <xdr:row>222</xdr:row>
          <xdr:rowOff>9525</xdr:rowOff>
        </xdr:to>
        <xdr:sp macro="" textlink="">
          <xdr:nvSpPr>
            <xdr:cNvPr id="6333" name="CheckBox39" hidden="1">
              <a:extLst>
                <a:ext uri="{63B3BB69-23CF-44E3-9099-C40C66FF867C}">
                  <a14:compatExt spid="_x0000_s6333"/>
                </a:ext>
                <a:ext uri="{FF2B5EF4-FFF2-40B4-BE49-F238E27FC236}">
                  <a16:creationId xmlns:a16="http://schemas.microsoft.com/office/drawing/2014/main" id="{00000000-0008-0000-0100-0000B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222</xdr:row>
          <xdr:rowOff>47625</xdr:rowOff>
        </xdr:from>
        <xdr:to>
          <xdr:col>5</xdr:col>
          <xdr:colOff>361950</xdr:colOff>
          <xdr:row>223</xdr:row>
          <xdr:rowOff>47625</xdr:rowOff>
        </xdr:to>
        <xdr:sp macro="" textlink="">
          <xdr:nvSpPr>
            <xdr:cNvPr id="6334" name="CheckBox40" hidden="1">
              <a:extLst>
                <a:ext uri="{63B3BB69-23CF-44E3-9099-C40C66FF867C}">
                  <a14:compatExt spid="_x0000_s6334"/>
                </a:ext>
                <a:ext uri="{FF2B5EF4-FFF2-40B4-BE49-F238E27FC236}">
                  <a16:creationId xmlns:a16="http://schemas.microsoft.com/office/drawing/2014/main" id="{00000000-0008-0000-0100-0000B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221</xdr:row>
          <xdr:rowOff>19050</xdr:rowOff>
        </xdr:from>
        <xdr:to>
          <xdr:col>5</xdr:col>
          <xdr:colOff>361950</xdr:colOff>
          <xdr:row>222</xdr:row>
          <xdr:rowOff>19050</xdr:rowOff>
        </xdr:to>
        <xdr:sp macro="" textlink="">
          <xdr:nvSpPr>
            <xdr:cNvPr id="6335" name="CheckBox41" hidden="1">
              <a:extLst>
                <a:ext uri="{63B3BB69-23CF-44E3-9099-C40C66FF867C}">
                  <a14:compatExt spid="_x0000_s6335"/>
                </a:ext>
                <a:ext uri="{FF2B5EF4-FFF2-40B4-BE49-F238E27FC236}">
                  <a16:creationId xmlns:a16="http://schemas.microsoft.com/office/drawing/2014/main" id="{00000000-0008-0000-0100-0000B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220</xdr:row>
          <xdr:rowOff>0</xdr:rowOff>
        </xdr:from>
        <xdr:to>
          <xdr:col>10</xdr:col>
          <xdr:colOff>180975</xdr:colOff>
          <xdr:row>221</xdr:row>
          <xdr:rowOff>9525</xdr:rowOff>
        </xdr:to>
        <xdr:sp macro="" textlink="">
          <xdr:nvSpPr>
            <xdr:cNvPr id="6336" name="CheckBox42" hidden="1">
              <a:extLst>
                <a:ext uri="{63B3BB69-23CF-44E3-9099-C40C66FF867C}">
                  <a14:compatExt spid="_x0000_s6336"/>
                </a:ext>
                <a:ext uri="{FF2B5EF4-FFF2-40B4-BE49-F238E27FC236}">
                  <a16:creationId xmlns:a16="http://schemas.microsoft.com/office/drawing/2014/main" id="{00000000-0008-0000-0100-0000C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221</xdr:row>
          <xdr:rowOff>19050</xdr:rowOff>
        </xdr:from>
        <xdr:to>
          <xdr:col>10</xdr:col>
          <xdr:colOff>180975</xdr:colOff>
          <xdr:row>222</xdr:row>
          <xdr:rowOff>19050</xdr:rowOff>
        </xdr:to>
        <xdr:sp macro="" textlink="">
          <xdr:nvSpPr>
            <xdr:cNvPr id="6337" name="CheckBox43" hidden="1">
              <a:extLst>
                <a:ext uri="{63B3BB69-23CF-44E3-9099-C40C66FF867C}">
                  <a14:compatExt spid="_x0000_s6337"/>
                </a:ext>
                <a:ext uri="{FF2B5EF4-FFF2-40B4-BE49-F238E27FC236}">
                  <a16:creationId xmlns:a16="http://schemas.microsoft.com/office/drawing/2014/main" id="{00000000-0008-0000-0100-0000C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221</xdr:row>
          <xdr:rowOff>19050</xdr:rowOff>
        </xdr:from>
        <xdr:to>
          <xdr:col>12</xdr:col>
          <xdr:colOff>361950</xdr:colOff>
          <xdr:row>222</xdr:row>
          <xdr:rowOff>19050</xdr:rowOff>
        </xdr:to>
        <xdr:sp macro="" textlink="">
          <xdr:nvSpPr>
            <xdr:cNvPr id="6338" name="CheckBox44" hidden="1">
              <a:extLst>
                <a:ext uri="{63B3BB69-23CF-44E3-9099-C40C66FF867C}">
                  <a14:compatExt spid="_x0000_s6338"/>
                </a:ext>
                <a:ext uri="{FF2B5EF4-FFF2-40B4-BE49-F238E27FC236}">
                  <a16:creationId xmlns:a16="http://schemas.microsoft.com/office/drawing/2014/main" id="{00000000-0008-0000-0100-0000C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220</xdr:row>
          <xdr:rowOff>0</xdr:rowOff>
        </xdr:from>
        <xdr:to>
          <xdr:col>17</xdr:col>
          <xdr:colOff>180975</xdr:colOff>
          <xdr:row>221</xdr:row>
          <xdr:rowOff>9525</xdr:rowOff>
        </xdr:to>
        <xdr:sp macro="" textlink="">
          <xdr:nvSpPr>
            <xdr:cNvPr id="6339" name="CheckBox45" hidden="1">
              <a:extLst>
                <a:ext uri="{63B3BB69-23CF-44E3-9099-C40C66FF867C}">
                  <a14:compatExt spid="_x0000_s6339"/>
                </a:ext>
                <a:ext uri="{FF2B5EF4-FFF2-40B4-BE49-F238E27FC236}">
                  <a16:creationId xmlns:a16="http://schemas.microsoft.com/office/drawing/2014/main" id="{00000000-0008-0000-0100-0000C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221</xdr:row>
          <xdr:rowOff>0</xdr:rowOff>
        </xdr:from>
        <xdr:to>
          <xdr:col>17</xdr:col>
          <xdr:colOff>180975</xdr:colOff>
          <xdr:row>222</xdr:row>
          <xdr:rowOff>0</xdr:rowOff>
        </xdr:to>
        <xdr:sp macro="" textlink="">
          <xdr:nvSpPr>
            <xdr:cNvPr id="6340" name="CheckBox46" hidden="1">
              <a:extLst>
                <a:ext uri="{63B3BB69-23CF-44E3-9099-C40C66FF867C}">
                  <a14:compatExt spid="_x0000_s6340"/>
                </a:ext>
                <a:ext uri="{FF2B5EF4-FFF2-40B4-BE49-F238E27FC236}">
                  <a16:creationId xmlns:a16="http://schemas.microsoft.com/office/drawing/2014/main" id="{00000000-0008-0000-0100-0000C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222</xdr:row>
          <xdr:rowOff>38100</xdr:rowOff>
        </xdr:from>
        <xdr:to>
          <xdr:col>19</xdr:col>
          <xdr:colOff>323850</xdr:colOff>
          <xdr:row>223</xdr:row>
          <xdr:rowOff>28575</xdr:rowOff>
        </xdr:to>
        <xdr:sp macro="" textlink="">
          <xdr:nvSpPr>
            <xdr:cNvPr id="6341" name="CheckBox47" hidden="1">
              <a:extLst>
                <a:ext uri="{63B3BB69-23CF-44E3-9099-C40C66FF867C}">
                  <a14:compatExt spid="_x0000_s6341"/>
                </a:ext>
                <a:ext uri="{FF2B5EF4-FFF2-40B4-BE49-F238E27FC236}">
                  <a16:creationId xmlns:a16="http://schemas.microsoft.com/office/drawing/2014/main" id="{00000000-0008-0000-0100-0000C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221</xdr:row>
          <xdr:rowOff>19050</xdr:rowOff>
        </xdr:from>
        <xdr:to>
          <xdr:col>19</xdr:col>
          <xdr:colOff>323850</xdr:colOff>
          <xdr:row>222</xdr:row>
          <xdr:rowOff>19050</xdr:rowOff>
        </xdr:to>
        <xdr:sp macro="" textlink="">
          <xdr:nvSpPr>
            <xdr:cNvPr id="6342" name="CheckBox48" hidden="1">
              <a:extLst>
                <a:ext uri="{63B3BB69-23CF-44E3-9099-C40C66FF867C}">
                  <a14:compatExt spid="_x0000_s6342"/>
                </a:ext>
                <a:ext uri="{FF2B5EF4-FFF2-40B4-BE49-F238E27FC236}">
                  <a16:creationId xmlns:a16="http://schemas.microsoft.com/office/drawing/2014/main" id="{00000000-0008-0000-0100-0000C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224</xdr:row>
          <xdr:rowOff>9525</xdr:rowOff>
        </xdr:from>
        <xdr:to>
          <xdr:col>3</xdr:col>
          <xdr:colOff>180975</xdr:colOff>
          <xdr:row>225</xdr:row>
          <xdr:rowOff>9525</xdr:rowOff>
        </xdr:to>
        <xdr:sp macro="" textlink="">
          <xdr:nvSpPr>
            <xdr:cNvPr id="6343" name="CheckBox49" hidden="1">
              <a:extLst>
                <a:ext uri="{63B3BB69-23CF-44E3-9099-C40C66FF867C}">
                  <a14:compatExt spid="_x0000_s6343"/>
                </a:ext>
                <a:ext uri="{FF2B5EF4-FFF2-40B4-BE49-F238E27FC236}">
                  <a16:creationId xmlns:a16="http://schemas.microsoft.com/office/drawing/2014/main" id="{00000000-0008-0000-0100-0000C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225</xdr:row>
          <xdr:rowOff>19050</xdr:rowOff>
        </xdr:from>
        <xdr:to>
          <xdr:col>3</xdr:col>
          <xdr:colOff>180975</xdr:colOff>
          <xdr:row>226</xdr:row>
          <xdr:rowOff>19050</xdr:rowOff>
        </xdr:to>
        <xdr:sp macro="" textlink="">
          <xdr:nvSpPr>
            <xdr:cNvPr id="6344" name="CheckBox50" hidden="1">
              <a:extLst>
                <a:ext uri="{63B3BB69-23CF-44E3-9099-C40C66FF867C}">
                  <a14:compatExt spid="_x0000_s6344"/>
                </a:ext>
                <a:ext uri="{FF2B5EF4-FFF2-40B4-BE49-F238E27FC236}">
                  <a16:creationId xmlns:a16="http://schemas.microsoft.com/office/drawing/2014/main" id="{00000000-0008-0000-0100-0000C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224</xdr:row>
          <xdr:rowOff>9525</xdr:rowOff>
        </xdr:from>
        <xdr:to>
          <xdr:col>10</xdr:col>
          <xdr:colOff>180975</xdr:colOff>
          <xdr:row>225</xdr:row>
          <xdr:rowOff>9525</xdr:rowOff>
        </xdr:to>
        <xdr:sp macro="" textlink="">
          <xdr:nvSpPr>
            <xdr:cNvPr id="6345" name="CheckBox51" hidden="1">
              <a:extLst>
                <a:ext uri="{63B3BB69-23CF-44E3-9099-C40C66FF867C}">
                  <a14:compatExt spid="_x0000_s6345"/>
                </a:ext>
                <a:ext uri="{FF2B5EF4-FFF2-40B4-BE49-F238E27FC236}">
                  <a16:creationId xmlns:a16="http://schemas.microsoft.com/office/drawing/2014/main" id="{00000000-0008-0000-0100-0000C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225</xdr:row>
          <xdr:rowOff>19050</xdr:rowOff>
        </xdr:from>
        <xdr:to>
          <xdr:col>10</xdr:col>
          <xdr:colOff>180975</xdr:colOff>
          <xdr:row>226</xdr:row>
          <xdr:rowOff>19050</xdr:rowOff>
        </xdr:to>
        <xdr:sp macro="" textlink="">
          <xdr:nvSpPr>
            <xdr:cNvPr id="6346" name="CheckBox52" hidden="1">
              <a:extLst>
                <a:ext uri="{63B3BB69-23CF-44E3-9099-C40C66FF867C}">
                  <a14:compatExt spid="_x0000_s6346"/>
                </a:ext>
                <a:ext uri="{FF2B5EF4-FFF2-40B4-BE49-F238E27FC236}">
                  <a16:creationId xmlns:a16="http://schemas.microsoft.com/office/drawing/2014/main" id="{00000000-0008-0000-0100-0000C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224</xdr:row>
          <xdr:rowOff>9525</xdr:rowOff>
        </xdr:from>
        <xdr:to>
          <xdr:col>17</xdr:col>
          <xdr:colOff>180975</xdr:colOff>
          <xdr:row>225</xdr:row>
          <xdr:rowOff>9525</xdr:rowOff>
        </xdr:to>
        <xdr:sp macro="" textlink="">
          <xdr:nvSpPr>
            <xdr:cNvPr id="6347" name="CheckBox53" hidden="1">
              <a:extLst>
                <a:ext uri="{63B3BB69-23CF-44E3-9099-C40C66FF867C}">
                  <a14:compatExt spid="_x0000_s6347"/>
                </a:ext>
                <a:ext uri="{FF2B5EF4-FFF2-40B4-BE49-F238E27FC236}">
                  <a16:creationId xmlns:a16="http://schemas.microsoft.com/office/drawing/2014/main" id="{00000000-0008-0000-0100-0000C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225</xdr:row>
          <xdr:rowOff>19050</xdr:rowOff>
        </xdr:from>
        <xdr:to>
          <xdr:col>17</xdr:col>
          <xdr:colOff>180975</xdr:colOff>
          <xdr:row>226</xdr:row>
          <xdr:rowOff>19050</xdr:rowOff>
        </xdr:to>
        <xdr:sp macro="" textlink="">
          <xdr:nvSpPr>
            <xdr:cNvPr id="6348" name="CheckBox54" hidden="1">
              <a:extLst>
                <a:ext uri="{63B3BB69-23CF-44E3-9099-C40C66FF867C}">
                  <a14:compatExt spid="_x0000_s6348"/>
                </a:ext>
                <a:ext uri="{FF2B5EF4-FFF2-40B4-BE49-F238E27FC236}">
                  <a16:creationId xmlns:a16="http://schemas.microsoft.com/office/drawing/2014/main" id="{00000000-0008-0000-0100-0000C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220</xdr:row>
          <xdr:rowOff>0</xdr:rowOff>
        </xdr:from>
        <xdr:to>
          <xdr:col>5</xdr:col>
          <xdr:colOff>361950</xdr:colOff>
          <xdr:row>221</xdr:row>
          <xdr:rowOff>9525</xdr:rowOff>
        </xdr:to>
        <xdr:sp macro="" textlink="">
          <xdr:nvSpPr>
            <xdr:cNvPr id="6349" name="CheckBox55" hidden="1">
              <a:extLst>
                <a:ext uri="{63B3BB69-23CF-44E3-9099-C40C66FF867C}">
                  <a14:compatExt spid="_x0000_s6349"/>
                </a:ext>
                <a:ext uri="{FF2B5EF4-FFF2-40B4-BE49-F238E27FC236}">
                  <a16:creationId xmlns:a16="http://schemas.microsoft.com/office/drawing/2014/main" id="{00000000-0008-0000-0100-0000C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220</xdr:row>
          <xdr:rowOff>0</xdr:rowOff>
        </xdr:from>
        <xdr:to>
          <xdr:col>12</xdr:col>
          <xdr:colOff>361950</xdr:colOff>
          <xdr:row>221</xdr:row>
          <xdr:rowOff>9525</xdr:rowOff>
        </xdr:to>
        <xdr:sp macro="" textlink="">
          <xdr:nvSpPr>
            <xdr:cNvPr id="6350" name="CheckBox56" hidden="1">
              <a:extLst>
                <a:ext uri="{63B3BB69-23CF-44E3-9099-C40C66FF867C}">
                  <a14:compatExt spid="_x0000_s6350"/>
                </a:ext>
                <a:ext uri="{FF2B5EF4-FFF2-40B4-BE49-F238E27FC236}">
                  <a16:creationId xmlns:a16="http://schemas.microsoft.com/office/drawing/2014/main" id="{00000000-0008-0000-0100-0000C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220</xdr:row>
          <xdr:rowOff>9525</xdr:rowOff>
        </xdr:from>
        <xdr:to>
          <xdr:col>19</xdr:col>
          <xdr:colOff>323850</xdr:colOff>
          <xdr:row>221</xdr:row>
          <xdr:rowOff>28575</xdr:rowOff>
        </xdr:to>
        <xdr:sp macro="" textlink="">
          <xdr:nvSpPr>
            <xdr:cNvPr id="6351" name="CheckBox57" hidden="1">
              <a:extLst>
                <a:ext uri="{63B3BB69-23CF-44E3-9099-C40C66FF867C}">
                  <a14:compatExt spid="_x0000_s6351"/>
                </a:ext>
                <a:ext uri="{FF2B5EF4-FFF2-40B4-BE49-F238E27FC236}">
                  <a16:creationId xmlns:a16="http://schemas.microsoft.com/office/drawing/2014/main" id="{00000000-0008-0000-0100-0000C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222</xdr:row>
          <xdr:rowOff>57150</xdr:rowOff>
        </xdr:from>
        <xdr:to>
          <xdr:col>12</xdr:col>
          <xdr:colOff>361950</xdr:colOff>
          <xdr:row>223</xdr:row>
          <xdr:rowOff>47625</xdr:rowOff>
        </xdr:to>
        <xdr:sp macro="" textlink="">
          <xdr:nvSpPr>
            <xdr:cNvPr id="6352" name="CheckBox58" hidden="1">
              <a:extLst>
                <a:ext uri="{63B3BB69-23CF-44E3-9099-C40C66FF867C}">
                  <a14:compatExt spid="_x0000_s6352"/>
                </a:ext>
                <a:ext uri="{FF2B5EF4-FFF2-40B4-BE49-F238E27FC236}">
                  <a16:creationId xmlns:a16="http://schemas.microsoft.com/office/drawing/2014/main" id="{00000000-0008-0000-0100-0000D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95250</xdr:rowOff>
        </xdr:from>
        <xdr:to>
          <xdr:col>21</xdr:col>
          <xdr:colOff>933450</xdr:colOff>
          <xdr:row>19</xdr:row>
          <xdr:rowOff>19050</xdr:rowOff>
        </xdr:to>
        <xdr:sp macro="" textlink="">
          <xdr:nvSpPr>
            <xdr:cNvPr id="6355" name="ComboBox1" hidden="1">
              <a:extLst>
                <a:ext uri="{63B3BB69-23CF-44E3-9099-C40C66FF867C}">
                  <a14:compatExt spid="_x0000_s6355"/>
                </a:ext>
                <a:ext uri="{FF2B5EF4-FFF2-40B4-BE49-F238E27FC236}">
                  <a16:creationId xmlns:a16="http://schemas.microsoft.com/office/drawing/2014/main" id="{00000000-0008-0000-0100-0000D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19</xdr:row>
          <xdr:rowOff>190500</xdr:rowOff>
        </xdr:from>
        <xdr:to>
          <xdr:col>21</xdr:col>
          <xdr:colOff>914400</xdr:colOff>
          <xdr:row>21</xdr:row>
          <xdr:rowOff>19050</xdr:rowOff>
        </xdr:to>
        <xdr:sp macro="" textlink="">
          <xdr:nvSpPr>
            <xdr:cNvPr id="6357" name="ComboBox2" hidden="1">
              <a:extLst>
                <a:ext uri="{63B3BB69-23CF-44E3-9099-C40C66FF867C}">
                  <a14:compatExt spid="_x0000_s6357"/>
                </a:ext>
                <a:ext uri="{FF2B5EF4-FFF2-40B4-BE49-F238E27FC236}">
                  <a16:creationId xmlns:a16="http://schemas.microsoft.com/office/drawing/2014/main" id="{00000000-0008-0000-0100-0000D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10</xdr:col>
          <xdr:colOff>0</xdr:colOff>
          <xdr:row>29</xdr:row>
          <xdr:rowOff>19050</xdr:rowOff>
        </xdr:to>
        <xdr:sp macro="" textlink="">
          <xdr:nvSpPr>
            <xdr:cNvPr id="6358" name="ComboBox3" hidden="1">
              <a:extLst>
                <a:ext uri="{63B3BB69-23CF-44E3-9099-C40C66FF867C}">
                  <a14:compatExt spid="_x0000_s6358"/>
                </a:ext>
                <a:ext uri="{FF2B5EF4-FFF2-40B4-BE49-F238E27FC236}">
                  <a16:creationId xmlns:a16="http://schemas.microsoft.com/office/drawing/2014/main" id="{00000000-0008-0000-0100-0000D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19050</xdr:colOff>
      <xdr:row>0</xdr:row>
      <xdr:rowOff>19050</xdr:rowOff>
    </xdr:from>
    <xdr:to>
      <xdr:col>1</xdr:col>
      <xdr:colOff>571500</xdr:colOff>
      <xdr:row>2</xdr:row>
      <xdr:rowOff>39832</xdr:rowOff>
    </xdr:to>
    <xdr:pic>
      <xdr:nvPicPr>
        <xdr:cNvPr id="86" name="Picture 2" descr="SYSTAGENIX LOGO.JPG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323975" cy="506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47625</xdr:rowOff>
    </xdr:from>
    <xdr:to>
      <xdr:col>2</xdr:col>
      <xdr:colOff>123825</xdr:colOff>
      <xdr:row>2</xdr:row>
      <xdr:rowOff>46567</xdr:rowOff>
    </xdr:to>
    <xdr:pic>
      <xdr:nvPicPr>
        <xdr:cNvPr id="2" name="Picture 2" descr="SYSTAGENIX LOGO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7625"/>
          <a:ext cx="1323975" cy="5281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14</xdr:row>
      <xdr:rowOff>0</xdr:rowOff>
    </xdr:from>
    <xdr:to>
      <xdr:col>2</xdr:col>
      <xdr:colOff>266700</xdr:colOff>
      <xdr:row>15</xdr:row>
      <xdr:rowOff>47624</xdr:rowOff>
    </xdr:to>
    <xdr:sp macro="" textlink="">
      <xdr:nvSpPr>
        <xdr:cNvPr id="3" name="cmd_PhotoAttach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8029575" y="3486150"/>
          <a:ext cx="819150" cy="25717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73</xdr:row>
      <xdr:rowOff>9525</xdr:rowOff>
    </xdr:from>
    <xdr:to>
      <xdr:col>3</xdr:col>
      <xdr:colOff>304800</xdr:colOff>
      <xdr:row>74</xdr:row>
      <xdr:rowOff>0</xdr:rowOff>
    </xdr:to>
    <xdr:sp macro="" textlink="">
      <xdr:nvSpPr>
        <xdr:cNvPr id="4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 bwMode="auto">
        <a:xfrm>
          <a:off x="1828800" y="644842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323850</xdr:colOff>
      <xdr:row>73</xdr:row>
      <xdr:rowOff>9525</xdr:rowOff>
    </xdr:from>
    <xdr:to>
      <xdr:col>3</xdr:col>
      <xdr:colOff>626269</xdr:colOff>
      <xdr:row>74</xdr:row>
      <xdr:rowOff>0</xdr:rowOff>
    </xdr:to>
    <xdr:sp macro="" textlink="">
      <xdr:nvSpPr>
        <xdr:cNvPr id="5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 bwMode="auto">
        <a:xfrm>
          <a:off x="2152650" y="644842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9525</xdr:colOff>
      <xdr:row>73</xdr:row>
      <xdr:rowOff>0</xdr:rowOff>
    </xdr:from>
    <xdr:to>
      <xdr:col>10</xdr:col>
      <xdr:colOff>314325</xdr:colOff>
      <xdr:row>73</xdr:row>
      <xdr:rowOff>200025</xdr:rowOff>
    </xdr:to>
    <xdr:sp macro="" textlink="">
      <xdr:nvSpPr>
        <xdr:cNvPr id="6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3895725" y="6438900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333375</xdr:colOff>
      <xdr:row>73</xdr:row>
      <xdr:rowOff>0</xdr:rowOff>
    </xdr:from>
    <xdr:to>
      <xdr:col>10</xdr:col>
      <xdr:colOff>635793</xdr:colOff>
      <xdr:row>73</xdr:row>
      <xdr:rowOff>200025</xdr:rowOff>
    </xdr:to>
    <xdr:sp macro="" textlink="">
      <xdr:nvSpPr>
        <xdr:cNvPr id="7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 bwMode="auto">
        <a:xfrm>
          <a:off x="4219575" y="6438900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73</xdr:row>
      <xdr:rowOff>0</xdr:rowOff>
    </xdr:from>
    <xdr:to>
      <xdr:col>17</xdr:col>
      <xdr:colOff>304800</xdr:colOff>
      <xdr:row>73</xdr:row>
      <xdr:rowOff>200025</xdr:rowOff>
    </xdr:to>
    <xdr:sp macro="" textlink="">
      <xdr:nvSpPr>
        <xdr:cNvPr id="8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 bwMode="auto">
        <a:xfrm>
          <a:off x="5943600" y="6438900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323850</xdr:colOff>
      <xdr:row>73</xdr:row>
      <xdr:rowOff>0</xdr:rowOff>
    </xdr:from>
    <xdr:to>
      <xdr:col>17</xdr:col>
      <xdr:colOff>626269</xdr:colOff>
      <xdr:row>73</xdr:row>
      <xdr:rowOff>200025</xdr:rowOff>
    </xdr:to>
    <xdr:sp macro="" textlink="">
      <xdr:nvSpPr>
        <xdr:cNvPr id="9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 bwMode="auto">
        <a:xfrm>
          <a:off x="6267450" y="6438900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75</xdr:row>
      <xdr:rowOff>9525</xdr:rowOff>
    </xdr:from>
    <xdr:to>
      <xdr:col>3</xdr:col>
      <xdr:colOff>304800</xdr:colOff>
      <xdr:row>76</xdr:row>
      <xdr:rowOff>1</xdr:rowOff>
    </xdr:to>
    <xdr:sp macro="" textlink="">
      <xdr:nvSpPr>
        <xdr:cNvPr id="10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 bwMode="auto">
        <a:xfrm>
          <a:off x="1828800" y="6705600"/>
          <a:ext cx="304800" cy="20002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323850</xdr:colOff>
      <xdr:row>75</xdr:row>
      <xdr:rowOff>9525</xdr:rowOff>
    </xdr:from>
    <xdr:to>
      <xdr:col>3</xdr:col>
      <xdr:colOff>626269</xdr:colOff>
      <xdr:row>76</xdr:row>
      <xdr:rowOff>1</xdr:rowOff>
    </xdr:to>
    <xdr:sp macro="" textlink="">
      <xdr:nvSpPr>
        <xdr:cNvPr id="11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152650" y="6705600"/>
          <a:ext cx="304800" cy="20002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9525</xdr:colOff>
      <xdr:row>75</xdr:row>
      <xdr:rowOff>0</xdr:rowOff>
    </xdr:from>
    <xdr:to>
      <xdr:col>10</xdr:col>
      <xdr:colOff>314325</xdr:colOff>
      <xdr:row>75</xdr:row>
      <xdr:rowOff>200025</xdr:rowOff>
    </xdr:to>
    <xdr:sp macro="" textlink="">
      <xdr:nvSpPr>
        <xdr:cNvPr id="12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 bwMode="auto">
        <a:xfrm>
          <a:off x="3895725" y="66960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333375</xdr:colOff>
      <xdr:row>75</xdr:row>
      <xdr:rowOff>0</xdr:rowOff>
    </xdr:from>
    <xdr:to>
      <xdr:col>10</xdr:col>
      <xdr:colOff>635793</xdr:colOff>
      <xdr:row>75</xdr:row>
      <xdr:rowOff>200025</xdr:rowOff>
    </xdr:to>
    <xdr:sp macro="" textlink="">
      <xdr:nvSpPr>
        <xdr:cNvPr id="13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 bwMode="auto">
        <a:xfrm>
          <a:off x="4219575" y="66960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75</xdr:row>
      <xdr:rowOff>0</xdr:rowOff>
    </xdr:from>
    <xdr:to>
      <xdr:col>17</xdr:col>
      <xdr:colOff>304800</xdr:colOff>
      <xdr:row>75</xdr:row>
      <xdr:rowOff>200025</xdr:rowOff>
    </xdr:to>
    <xdr:sp macro="" textlink="">
      <xdr:nvSpPr>
        <xdr:cNvPr id="14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5943600" y="66960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323850</xdr:colOff>
      <xdr:row>75</xdr:row>
      <xdr:rowOff>0</xdr:rowOff>
    </xdr:from>
    <xdr:to>
      <xdr:col>17</xdr:col>
      <xdr:colOff>626269</xdr:colOff>
      <xdr:row>75</xdr:row>
      <xdr:rowOff>200025</xdr:rowOff>
    </xdr:to>
    <xdr:sp macro="" textlink="">
      <xdr:nvSpPr>
        <xdr:cNvPr id="15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 bwMode="auto">
        <a:xfrm>
          <a:off x="6267450" y="66960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77</xdr:row>
      <xdr:rowOff>9525</xdr:rowOff>
    </xdr:from>
    <xdr:to>
      <xdr:col>3</xdr:col>
      <xdr:colOff>304800</xdr:colOff>
      <xdr:row>78</xdr:row>
      <xdr:rowOff>2116</xdr:rowOff>
    </xdr:to>
    <xdr:sp macro="" textlink="">
      <xdr:nvSpPr>
        <xdr:cNvPr id="16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 bwMode="auto">
        <a:xfrm>
          <a:off x="1828800" y="6962775"/>
          <a:ext cx="304800" cy="20214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323850</xdr:colOff>
      <xdr:row>77</xdr:row>
      <xdr:rowOff>9525</xdr:rowOff>
    </xdr:from>
    <xdr:to>
      <xdr:col>3</xdr:col>
      <xdr:colOff>626269</xdr:colOff>
      <xdr:row>78</xdr:row>
      <xdr:rowOff>2116</xdr:rowOff>
    </xdr:to>
    <xdr:sp macro="" textlink="">
      <xdr:nvSpPr>
        <xdr:cNvPr id="17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 bwMode="auto">
        <a:xfrm>
          <a:off x="2152650" y="6962775"/>
          <a:ext cx="304800" cy="20214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77</xdr:row>
      <xdr:rowOff>9525</xdr:rowOff>
    </xdr:from>
    <xdr:to>
      <xdr:col>10</xdr:col>
      <xdr:colOff>304800</xdr:colOff>
      <xdr:row>78</xdr:row>
      <xdr:rowOff>2116</xdr:rowOff>
    </xdr:to>
    <xdr:sp macro="" textlink="">
      <xdr:nvSpPr>
        <xdr:cNvPr id="18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 bwMode="auto">
        <a:xfrm>
          <a:off x="3886200" y="6962775"/>
          <a:ext cx="304800" cy="20214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323850</xdr:colOff>
      <xdr:row>77</xdr:row>
      <xdr:rowOff>9525</xdr:rowOff>
    </xdr:from>
    <xdr:to>
      <xdr:col>10</xdr:col>
      <xdr:colOff>626268</xdr:colOff>
      <xdr:row>78</xdr:row>
      <xdr:rowOff>2116</xdr:rowOff>
    </xdr:to>
    <xdr:sp macro="" textlink="">
      <xdr:nvSpPr>
        <xdr:cNvPr id="19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 bwMode="auto">
        <a:xfrm>
          <a:off x="4210050" y="6962775"/>
          <a:ext cx="304800" cy="20214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77</xdr:row>
      <xdr:rowOff>9525</xdr:rowOff>
    </xdr:from>
    <xdr:to>
      <xdr:col>17</xdr:col>
      <xdr:colOff>304800</xdr:colOff>
      <xdr:row>78</xdr:row>
      <xdr:rowOff>2116</xdr:rowOff>
    </xdr:to>
    <xdr:sp macro="" textlink="">
      <xdr:nvSpPr>
        <xdr:cNvPr id="20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 bwMode="auto">
        <a:xfrm>
          <a:off x="5943600" y="6962775"/>
          <a:ext cx="304800" cy="20214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323850</xdr:colOff>
      <xdr:row>77</xdr:row>
      <xdr:rowOff>9525</xdr:rowOff>
    </xdr:from>
    <xdr:to>
      <xdr:col>17</xdr:col>
      <xdr:colOff>626269</xdr:colOff>
      <xdr:row>78</xdr:row>
      <xdr:rowOff>2116</xdr:rowOff>
    </xdr:to>
    <xdr:sp macro="" textlink="">
      <xdr:nvSpPr>
        <xdr:cNvPr id="21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 bwMode="auto">
        <a:xfrm>
          <a:off x="6267450" y="6962775"/>
          <a:ext cx="304800" cy="20214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60</xdr:row>
      <xdr:rowOff>0</xdr:rowOff>
    </xdr:from>
    <xdr:to>
      <xdr:col>3</xdr:col>
      <xdr:colOff>304800</xdr:colOff>
      <xdr:row>61</xdr:row>
      <xdr:rowOff>137320</xdr:rowOff>
    </xdr:to>
    <xdr:sp macro="" textlink="">
      <xdr:nvSpPr>
        <xdr:cNvPr id="22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 bwMode="auto">
        <a:xfrm>
          <a:off x="1828800" y="561975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323850</xdr:colOff>
      <xdr:row>60</xdr:row>
      <xdr:rowOff>0</xdr:rowOff>
    </xdr:from>
    <xdr:to>
      <xdr:col>3</xdr:col>
      <xdr:colOff>626269</xdr:colOff>
      <xdr:row>61</xdr:row>
      <xdr:rowOff>137320</xdr:rowOff>
    </xdr:to>
    <xdr:sp macro="" textlink="">
      <xdr:nvSpPr>
        <xdr:cNvPr id="23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 bwMode="auto">
        <a:xfrm>
          <a:off x="2152650" y="561975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60</xdr:row>
      <xdr:rowOff>0</xdr:rowOff>
    </xdr:from>
    <xdr:to>
      <xdr:col>3</xdr:col>
      <xdr:colOff>304800</xdr:colOff>
      <xdr:row>61</xdr:row>
      <xdr:rowOff>137319</xdr:rowOff>
    </xdr:to>
    <xdr:sp macro="" textlink="">
      <xdr:nvSpPr>
        <xdr:cNvPr id="24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 bwMode="auto">
        <a:xfrm>
          <a:off x="1828800" y="561975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323850</xdr:colOff>
      <xdr:row>60</xdr:row>
      <xdr:rowOff>0</xdr:rowOff>
    </xdr:from>
    <xdr:to>
      <xdr:col>3</xdr:col>
      <xdr:colOff>626269</xdr:colOff>
      <xdr:row>61</xdr:row>
      <xdr:rowOff>137319</xdr:rowOff>
    </xdr:to>
    <xdr:sp macro="" textlink="">
      <xdr:nvSpPr>
        <xdr:cNvPr id="25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 bwMode="auto">
        <a:xfrm>
          <a:off x="2152650" y="561975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60</xdr:row>
      <xdr:rowOff>0</xdr:rowOff>
    </xdr:from>
    <xdr:to>
      <xdr:col>10</xdr:col>
      <xdr:colOff>304800</xdr:colOff>
      <xdr:row>61</xdr:row>
      <xdr:rowOff>137320</xdr:rowOff>
    </xdr:to>
    <xdr:sp macro="" textlink="">
      <xdr:nvSpPr>
        <xdr:cNvPr id="26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 bwMode="auto">
        <a:xfrm>
          <a:off x="3886200" y="561975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323850</xdr:colOff>
      <xdr:row>60</xdr:row>
      <xdr:rowOff>0</xdr:rowOff>
    </xdr:from>
    <xdr:to>
      <xdr:col>10</xdr:col>
      <xdr:colOff>626268</xdr:colOff>
      <xdr:row>61</xdr:row>
      <xdr:rowOff>137320</xdr:rowOff>
    </xdr:to>
    <xdr:sp macro="" textlink="">
      <xdr:nvSpPr>
        <xdr:cNvPr id="27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 bwMode="auto">
        <a:xfrm>
          <a:off x="4210050" y="561975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60</xdr:row>
      <xdr:rowOff>0</xdr:rowOff>
    </xdr:from>
    <xdr:to>
      <xdr:col>17</xdr:col>
      <xdr:colOff>304800</xdr:colOff>
      <xdr:row>61</xdr:row>
      <xdr:rowOff>137320</xdr:rowOff>
    </xdr:to>
    <xdr:sp macro="" textlink="">
      <xdr:nvSpPr>
        <xdr:cNvPr id="28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 bwMode="auto">
        <a:xfrm>
          <a:off x="5943600" y="561975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323850</xdr:colOff>
      <xdr:row>60</xdr:row>
      <xdr:rowOff>0</xdr:rowOff>
    </xdr:from>
    <xdr:to>
      <xdr:col>17</xdr:col>
      <xdr:colOff>626269</xdr:colOff>
      <xdr:row>61</xdr:row>
      <xdr:rowOff>137320</xdr:rowOff>
    </xdr:to>
    <xdr:sp macro="" textlink="">
      <xdr:nvSpPr>
        <xdr:cNvPr id="29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 bwMode="auto">
        <a:xfrm>
          <a:off x="6267450" y="561975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60</xdr:row>
      <xdr:rowOff>0</xdr:rowOff>
    </xdr:from>
    <xdr:to>
      <xdr:col>10</xdr:col>
      <xdr:colOff>304800</xdr:colOff>
      <xdr:row>61</xdr:row>
      <xdr:rowOff>137319</xdr:rowOff>
    </xdr:to>
    <xdr:sp macro="" textlink="">
      <xdr:nvSpPr>
        <xdr:cNvPr id="30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 bwMode="auto">
        <a:xfrm>
          <a:off x="3886200" y="561975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323850</xdr:colOff>
      <xdr:row>60</xdr:row>
      <xdr:rowOff>0</xdr:rowOff>
    </xdr:from>
    <xdr:to>
      <xdr:col>10</xdr:col>
      <xdr:colOff>626268</xdr:colOff>
      <xdr:row>61</xdr:row>
      <xdr:rowOff>137319</xdr:rowOff>
    </xdr:to>
    <xdr:sp macro="" textlink="">
      <xdr:nvSpPr>
        <xdr:cNvPr id="31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 bwMode="auto">
        <a:xfrm>
          <a:off x="4210050" y="561975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60</xdr:row>
      <xdr:rowOff>0</xdr:rowOff>
    </xdr:from>
    <xdr:to>
      <xdr:col>17</xdr:col>
      <xdr:colOff>304800</xdr:colOff>
      <xdr:row>61</xdr:row>
      <xdr:rowOff>137319</xdr:rowOff>
    </xdr:to>
    <xdr:sp macro="" textlink="">
      <xdr:nvSpPr>
        <xdr:cNvPr id="32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 bwMode="auto">
        <a:xfrm>
          <a:off x="5943600" y="561975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323850</xdr:colOff>
      <xdr:row>60</xdr:row>
      <xdr:rowOff>0</xdr:rowOff>
    </xdr:from>
    <xdr:to>
      <xdr:col>17</xdr:col>
      <xdr:colOff>626269</xdr:colOff>
      <xdr:row>61</xdr:row>
      <xdr:rowOff>137319</xdr:rowOff>
    </xdr:to>
    <xdr:sp macro="" textlink="">
      <xdr:nvSpPr>
        <xdr:cNvPr id="33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 bwMode="auto">
        <a:xfrm>
          <a:off x="6267450" y="561975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79</xdr:row>
      <xdr:rowOff>0</xdr:rowOff>
    </xdr:from>
    <xdr:to>
      <xdr:col>3</xdr:col>
      <xdr:colOff>152400</xdr:colOff>
      <xdr:row>80</xdr:row>
      <xdr:rowOff>0</xdr:rowOff>
    </xdr:to>
    <xdr:sp macro="" textlink="">
      <xdr:nvSpPr>
        <xdr:cNvPr id="34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 bwMode="auto">
        <a:xfrm>
          <a:off x="1828800" y="7210425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80</xdr:row>
      <xdr:rowOff>9525</xdr:rowOff>
    </xdr:from>
    <xdr:to>
      <xdr:col>3</xdr:col>
      <xdr:colOff>152400</xdr:colOff>
      <xdr:row>81</xdr:row>
      <xdr:rowOff>9524</xdr:rowOff>
    </xdr:to>
    <xdr:sp macro="" textlink="">
      <xdr:nvSpPr>
        <xdr:cNvPr id="35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 bwMode="auto">
        <a:xfrm>
          <a:off x="1828800" y="7429500"/>
          <a:ext cx="152400" cy="20954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81</xdr:row>
      <xdr:rowOff>19050</xdr:rowOff>
    </xdr:from>
    <xdr:to>
      <xdr:col>3</xdr:col>
      <xdr:colOff>152400</xdr:colOff>
      <xdr:row>82</xdr:row>
      <xdr:rowOff>19051</xdr:rowOff>
    </xdr:to>
    <xdr:sp macro="" textlink="">
      <xdr:nvSpPr>
        <xdr:cNvPr id="36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 bwMode="auto">
        <a:xfrm>
          <a:off x="1828800" y="7648575"/>
          <a:ext cx="152400" cy="2095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5</xdr:col>
      <xdr:colOff>180975</xdr:colOff>
      <xdr:row>80</xdr:row>
      <xdr:rowOff>38100</xdr:rowOff>
    </xdr:from>
    <xdr:to>
      <xdr:col>5</xdr:col>
      <xdr:colOff>333375</xdr:colOff>
      <xdr:row>81</xdr:row>
      <xdr:rowOff>38099</xdr:rowOff>
    </xdr:to>
    <xdr:sp macro="" textlink="">
      <xdr:nvSpPr>
        <xdr:cNvPr id="37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 bwMode="auto">
        <a:xfrm>
          <a:off x="2676525" y="7458075"/>
          <a:ext cx="152400" cy="20954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5</xdr:col>
      <xdr:colOff>180975</xdr:colOff>
      <xdr:row>79</xdr:row>
      <xdr:rowOff>28575</xdr:rowOff>
    </xdr:from>
    <xdr:to>
      <xdr:col>5</xdr:col>
      <xdr:colOff>333375</xdr:colOff>
      <xdr:row>80</xdr:row>
      <xdr:rowOff>28575</xdr:rowOff>
    </xdr:to>
    <xdr:sp macro="" textlink="">
      <xdr:nvSpPr>
        <xdr:cNvPr id="38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 bwMode="auto">
        <a:xfrm>
          <a:off x="2676525" y="7239000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79</xdr:row>
      <xdr:rowOff>0</xdr:rowOff>
    </xdr:from>
    <xdr:to>
      <xdr:col>10</xdr:col>
      <xdr:colOff>152400</xdr:colOff>
      <xdr:row>80</xdr:row>
      <xdr:rowOff>0</xdr:rowOff>
    </xdr:to>
    <xdr:sp macro="" textlink="">
      <xdr:nvSpPr>
        <xdr:cNvPr id="39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 bwMode="auto">
        <a:xfrm>
          <a:off x="3886200" y="7210425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80</xdr:row>
      <xdr:rowOff>19050</xdr:rowOff>
    </xdr:from>
    <xdr:to>
      <xdr:col>10</xdr:col>
      <xdr:colOff>152400</xdr:colOff>
      <xdr:row>81</xdr:row>
      <xdr:rowOff>19049</xdr:rowOff>
    </xdr:to>
    <xdr:sp macro="" textlink="">
      <xdr:nvSpPr>
        <xdr:cNvPr id="40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/>
      </xdr:nvSpPr>
      <xdr:spPr bwMode="auto">
        <a:xfrm>
          <a:off x="3886200" y="7439025"/>
          <a:ext cx="152400" cy="20954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81</xdr:row>
      <xdr:rowOff>28575</xdr:rowOff>
    </xdr:from>
    <xdr:to>
      <xdr:col>10</xdr:col>
      <xdr:colOff>152400</xdr:colOff>
      <xdr:row>82</xdr:row>
      <xdr:rowOff>28576</xdr:rowOff>
    </xdr:to>
    <xdr:sp macro="" textlink="">
      <xdr:nvSpPr>
        <xdr:cNvPr id="41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/>
      </xdr:nvSpPr>
      <xdr:spPr bwMode="auto">
        <a:xfrm>
          <a:off x="3886200" y="7658100"/>
          <a:ext cx="152400" cy="2095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12</xdr:col>
      <xdr:colOff>180975</xdr:colOff>
      <xdr:row>80</xdr:row>
      <xdr:rowOff>38100</xdr:rowOff>
    </xdr:from>
    <xdr:to>
      <xdr:col>12</xdr:col>
      <xdr:colOff>333375</xdr:colOff>
      <xdr:row>81</xdr:row>
      <xdr:rowOff>38099</xdr:rowOff>
    </xdr:to>
    <xdr:sp macro="" textlink="">
      <xdr:nvSpPr>
        <xdr:cNvPr id="42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 bwMode="auto">
        <a:xfrm>
          <a:off x="4733925" y="7458075"/>
          <a:ext cx="152400" cy="20954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12</xdr:col>
      <xdr:colOff>180975</xdr:colOff>
      <xdr:row>79</xdr:row>
      <xdr:rowOff>28575</xdr:rowOff>
    </xdr:from>
    <xdr:to>
      <xdr:col>12</xdr:col>
      <xdr:colOff>333375</xdr:colOff>
      <xdr:row>80</xdr:row>
      <xdr:rowOff>28575</xdr:rowOff>
    </xdr:to>
    <xdr:sp macro="" textlink="">
      <xdr:nvSpPr>
        <xdr:cNvPr id="43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/>
      </xdr:nvSpPr>
      <xdr:spPr bwMode="auto">
        <a:xfrm>
          <a:off x="4733925" y="7239000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79</xdr:row>
      <xdr:rowOff>0</xdr:rowOff>
    </xdr:from>
    <xdr:to>
      <xdr:col>17</xdr:col>
      <xdr:colOff>152400</xdr:colOff>
      <xdr:row>80</xdr:row>
      <xdr:rowOff>0</xdr:rowOff>
    </xdr:to>
    <xdr:sp macro="" textlink="">
      <xdr:nvSpPr>
        <xdr:cNvPr id="44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/>
      </xdr:nvSpPr>
      <xdr:spPr bwMode="auto">
        <a:xfrm>
          <a:off x="5943600" y="7210425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80</xdr:row>
      <xdr:rowOff>19050</xdr:rowOff>
    </xdr:from>
    <xdr:to>
      <xdr:col>17</xdr:col>
      <xdr:colOff>152400</xdr:colOff>
      <xdr:row>81</xdr:row>
      <xdr:rowOff>19049</xdr:rowOff>
    </xdr:to>
    <xdr:sp macro="" textlink="">
      <xdr:nvSpPr>
        <xdr:cNvPr id="45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/>
      </xdr:nvSpPr>
      <xdr:spPr bwMode="auto">
        <a:xfrm>
          <a:off x="5943600" y="7439025"/>
          <a:ext cx="152400" cy="20954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81</xdr:row>
      <xdr:rowOff>28575</xdr:rowOff>
    </xdr:from>
    <xdr:to>
      <xdr:col>17</xdr:col>
      <xdr:colOff>152400</xdr:colOff>
      <xdr:row>82</xdr:row>
      <xdr:rowOff>28576</xdr:rowOff>
    </xdr:to>
    <xdr:sp macro="" textlink="">
      <xdr:nvSpPr>
        <xdr:cNvPr id="46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 bwMode="auto">
        <a:xfrm>
          <a:off x="5943600" y="7658100"/>
          <a:ext cx="152400" cy="2095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19</xdr:col>
      <xdr:colOff>180975</xdr:colOff>
      <xdr:row>80</xdr:row>
      <xdr:rowOff>38100</xdr:rowOff>
    </xdr:from>
    <xdr:to>
      <xdr:col>19</xdr:col>
      <xdr:colOff>314325</xdr:colOff>
      <xdr:row>81</xdr:row>
      <xdr:rowOff>38099</xdr:rowOff>
    </xdr:to>
    <xdr:sp macro="" textlink="">
      <xdr:nvSpPr>
        <xdr:cNvPr id="47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 bwMode="auto">
        <a:xfrm>
          <a:off x="6791325" y="7458075"/>
          <a:ext cx="152400" cy="20954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19</xdr:col>
      <xdr:colOff>180975</xdr:colOff>
      <xdr:row>79</xdr:row>
      <xdr:rowOff>28575</xdr:rowOff>
    </xdr:from>
    <xdr:to>
      <xdr:col>19</xdr:col>
      <xdr:colOff>333375</xdr:colOff>
      <xdr:row>80</xdr:row>
      <xdr:rowOff>28575</xdr:rowOff>
    </xdr:to>
    <xdr:sp macro="" textlink="">
      <xdr:nvSpPr>
        <xdr:cNvPr id="48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 bwMode="auto">
        <a:xfrm>
          <a:off x="6791325" y="7239000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83</xdr:row>
      <xdr:rowOff>0</xdr:rowOff>
    </xdr:from>
    <xdr:to>
      <xdr:col>3</xdr:col>
      <xdr:colOff>152400</xdr:colOff>
      <xdr:row>84</xdr:row>
      <xdr:rowOff>2116</xdr:rowOff>
    </xdr:to>
    <xdr:sp macro="" textlink="">
      <xdr:nvSpPr>
        <xdr:cNvPr id="49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/>
      </xdr:nvSpPr>
      <xdr:spPr bwMode="auto">
        <a:xfrm>
          <a:off x="1828800" y="7886700"/>
          <a:ext cx="152400" cy="21166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84</xdr:row>
      <xdr:rowOff>9525</xdr:rowOff>
    </xdr:from>
    <xdr:to>
      <xdr:col>3</xdr:col>
      <xdr:colOff>152400</xdr:colOff>
      <xdr:row>85</xdr:row>
      <xdr:rowOff>9526</xdr:rowOff>
    </xdr:to>
    <xdr:sp macro="" textlink="">
      <xdr:nvSpPr>
        <xdr:cNvPr id="50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/>
      </xdr:nvSpPr>
      <xdr:spPr bwMode="auto">
        <a:xfrm>
          <a:off x="1828800" y="8105775"/>
          <a:ext cx="152400" cy="2095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85</xdr:row>
      <xdr:rowOff>19050</xdr:rowOff>
    </xdr:from>
    <xdr:to>
      <xdr:col>3</xdr:col>
      <xdr:colOff>152400</xdr:colOff>
      <xdr:row>86</xdr:row>
      <xdr:rowOff>19050</xdr:rowOff>
    </xdr:to>
    <xdr:sp macro="" textlink="">
      <xdr:nvSpPr>
        <xdr:cNvPr id="51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/>
      </xdr:nvSpPr>
      <xdr:spPr bwMode="auto">
        <a:xfrm>
          <a:off x="1828800" y="8324850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83</xdr:row>
      <xdr:rowOff>0</xdr:rowOff>
    </xdr:from>
    <xdr:to>
      <xdr:col>10</xdr:col>
      <xdr:colOff>152400</xdr:colOff>
      <xdr:row>84</xdr:row>
      <xdr:rowOff>2116</xdr:rowOff>
    </xdr:to>
    <xdr:sp macro="" textlink="">
      <xdr:nvSpPr>
        <xdr:cNvPr id="52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/>
      </xdr:nvSpPr>
      <xdr:spPr bwMode="auto">
        <a:xfrm>
          <a:off x="3886200" y="7886700"/>
          <a:ext cx="152400" cy="21166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84</xdr:row>
      <xdr:rowOff>9525</xdr:rowOff>
    </xdr:from>
    <xdr:to>
      <xdr:col>10</xdr:col>
      <xdr:colOff>152400</xdr:colOff>
      <xdr:row>85</xdr:row>
      <xdr:rowOff>9526</xdr:rowOff>
    </xdr:to>
    <xdr:sp macro="" textlink="">
      <xdr:nvSpPr>
        <xdr:cNvPr id="53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 bwMode="auto">
        <a:xfrm>
          <a:off x="3886200" y="8105775"/>
          <a:ext cx="152400" cy="2095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10</xdr:col>
      <xdr:colOff>0</xdr:colOff>
      <xdr:row>85</xdr:row>
      <xdr:rowOff>19050</xdr:rowOff>
    </xdr:from>
    <xdr:to>
      <xdr:col>10</xdr:col>
      <xdr:colOff>152400</xdr:colOff>
      <xdr:row>86</xdr:row>
      <xdr:rowOff>19050</xdr:rowOff>
    </xdr:to>
    <xdr:sp macro="" textlink="">
      <xdr:nvSpPr>
        <xdr:cNvPr id="54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/>
      </xdr:nvSpPr>
      <xdr:spPr bwMode="auto">
        <a:xfrm>
          <a:off x="3886200" y="8324850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83</xdr:row>
      <xdr:rowOff>0</xdr:rowOff>
    </xdr:from>
    <xdr:to>
      <xdr:col>17</xdr:col>
      <xdr:colOff>152400</xdr:colOff>
      <xdr:row>84</xdr:row>
      <xdr:rowOff>2116</xdr:rowOff>
    </xdr:to>
    <xdr:sp macro="" textlink="">
      <xdr:nvSpPr>
        <xdr:cNvPr id="55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/>
      </xdr:nvSpPr>
      <xdr:spPr bwMode="auto">
        <a:xfrm>
          <a:off x="5943600" y="7886700"/>
          <a:ext cx="152400" cy="21166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84</xdr:row>
      <xdr:rowOff>9525</xdr:rowOff>
    </xdr:from>
    <xdr:to>
      <xdr:col>17</xdr:col>
      <xdr:colOff>152400</xdr:colOff>
      <xdr:row>85</xdr:row>
      <xdr:rowOff>9526</xdr:rowOff>
    </xdr:to>
    <xdr:sp macro="" textlink="">
      <xdr:nvSpPr>
        <xdr:cNvPr id="56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 bwMode="auto">
        <a:xfrm>
          <a:off x="5943600" y="8105775"/>
          <a:ext cx="152400" cy="2095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17</xdr:col>
      <xdr:colOff>0</xdr:colOff>
      <xdr:row>85</xdr:row>
      <xdr:rowOff>19050</xdr:rowOff>
    </xdr:from>
    <xdr:to>
      <xdr:col>17</xdr:col>
      <xdr:colOff>152400</xdr:colOff>
      <xdr:row>86</xdr:row>
      <xdr:rowOff>19050</xdr:rowOff>
    </xdr:to>
    <xdr:sp macro="" textlink="">
      <xdr:nvSpPr>
        <xdr:cNvPr id="57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 bwMode="auto">
        <a:xfrm>
          <a:off x="5943600" y="8324850"/>
          <a:ext cx="152400" cy="209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0</xdr:colOff>
      <xdr:row>43</xdr:row>
      <xdr:rowOff>9525</xdr:rowOff>
    </xdr:from>
    <xdr:to>
      <xdr:col>3</xdr:col>
      <xdr:colOff>304800</xdr:colOff>
      <xdr:row>43</xdr:row>
      <xdr:rowOff>47626</xdr:rowOff>
    </xdr:to>
    <xdr:sp macro="" textlink="">
      <xdr:nvSpPr>
        <xdr:cNvPr id="58" name="opt_TreatgY" hidden="1">
          <a:extLst>
            <a:ext uri="{63B3BB69-23CF-44E3-9099-C40C66FF867C}">
              <a14:compatExt xmlns:a14="http://schemas.microsoft.com/office/drawing/2010/main" spid="_x0000_s1169"/>
            </a:ex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 bwMode="auto">
        <a:xfrm>
          <a:off x="1828800" y="11963400"/>
          <a:ext cx="304800" cy="20002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43</xdr:row>
      <xdr:rowOff>9525</xdr:rowOff>
    </xdr:from>
    <xdr:to>
      <xdr:col>3</xdr:col>
      <xdr:colOff>626269</xdr:colOff>
      <xdr:row>43</xdr:row>
      <xdr:rowOff>214314</xdr:rowOff>
    </xdr:to>
    <xdr:sp macro="" textlink="">
      <xdr:nvSpPr>
        <xdr:cNvPr id="59" name="opt_TreatgN" hidden="1">
          <a:extLst>
            <a:ext uri="{63B3BB69-23CF-44E3-9099-C40C66FF867C}">
              <a14:compatExt xmlns:a14="http://schemas.microsoft.com/office/drawing/2010/main" spid="_x0000_s1170"/>
            </a:ex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/>
      </xdr:nvSpPr>
      <xdr:spPr bwMode="auto">
        <a:xfrm>
          <a:off x="2152650" y="11963400"/>
          <a:ext cx="304800" cy="20002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0</xdr:colOff>
      <xdr:row>116</xdr:row>
      <xdr:rowOff>9525</xdr:rowOff>
    </xdr:from>
    <xdr:ext cx="304800" cy="204788"/>
    <xdr:sp macro="" textlink="">
      <xdr:nvSpPr>
        <xdr:cNvPr id="81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/>
      </xdr:nvSpPr>
      <xdr:spPr bwMode="auto">
        <a:xfrm>
          <a:off x="1964531" y="9034463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116</xdr:row>
      <xdr:rowOff>9525</xdr:rowOff>
    </xdr:from>
    <xdr:ext cx="302419" cy="204788"/>
    <xdr:sp macro="" textlink="">
      <xdr:nvSpPr>
        <xdr:cNvPr id="82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/>
      </xdr:nvSpPr>
      <xdr:spPr bwMode="auto">
        <a:xfrm>
          <a:off x="2288381" y="9034463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116</xdr:row>
      <xdr:rowOff>0</xdr:rowOff>
    </xdr:from>
    <xdr:ext cx="304800" cy="200025"/>
    <xdr:sp macro="" textlink="">
      <xdr:nvSpPr>
        <xdr:cNvPr id="83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 bwMode="auto">
        <a:xfrm>
          <a:off x="4581525" y="9024938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116</xdr:row>
      <xdr:rowOff>0</xdr:rowOff>
    </xdr:from>
    <xdr:ext cx="302418" cy="200025"/>
    <xdr:sp macro="" textlink="">
      <xdr:nvSpPr>
        <xdr:cNvPr id="84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 bwMode="auto">
        <a:xfrm>
          <a:off x="4905375" y="9024938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116</xdr:row>
      <xdr:rowOff>0</xdr:rowOff>
    </xdr:from>
    <xdr:ext cx="304800" cy="200025"/>
    <xdr:sp macro="" textlink="">
      <xdr:nvSpPr>
        <xdr:cNvPr id="85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/>
      </xdr:nvSpPr>
      <xdr:spPr bwMode="auto">
        <a:xfrm>
          <a:off x="7143750" y="9024938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116</xdr:row>
      <xdr:rowOff>0</xdr:rowOff>
    </xdr:from>
    <xdr:ext cx="302419" cy="200025"/>
    <xdr:sp macro="" textlink="">
      <xdr:nvSpPr>
        <xdr:cNvPr id="86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/>
      </xdr:nvSpPr>
      <xdr:spPr bwMode="auto">
        <a:xfrm>
          <a:off x="7467600" y="9024938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118</xdr:row>
      <xdr:rowOff>9525</xdr:rowOff>
    </xdr:from>
    <xdr:ext cx="304800" cy="204788"/>
    <xdr:sp macro="" textlink="">
      <xdr:nvSpPr>
        <xdr:cNvPr id="87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/>
      </xdr:nvSpPr>
      <xdr:spPr bwMode="auto">
        <a:xfrm>
          <a:off x="1964531" y="9296400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118</xdr:row>
      <xdr:rowOff>9525</xdr:rowOff>
    </xdr:from>
    <xdr:ext cx="302419" cy="204788"/>
    <xdr:sp macro="" textlink="">
      <xdr:nvSpPr>
        <xdr:cNvPr id="88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/>
      </xdr:nvSpPr>
      <xdr:spPr bwMode="auto">
        <a:xfrm>
          <a:off x="2288381" y="9296400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118</xdr:row>
      <xdr:rowOff>0</xdr:rowOff>
    </xdr:from>
    <xdr:ext cx="304800" cy="200025"/>
    <xdr:sp macro="" textlink="">
      <xdr:nvSpPr>
        <xdr:cNvPr id="89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/>
      </xdr:nvSpPr>
      <xdr:spPr bwMode="auto">
        <a:xfrm>
          <a:off x="4581525" y="92868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118</xdr:row>
      <xdr:rowOff>0</xdr:rowOff>
    </xdr:from>
    <xdr:ext cx="302418" cy="200025"/>
    <xdr:sp macro="" textlink="">
      <xdr:nvSpPr>
        <xdr:cNvPr id="90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/>
      </xdr:nvSpPr>
      <xdr:spPr bwMode="auto">
        <a:xfrm>
          <a:off x="4905375" y="9286875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118</xdr:row>
      <xdr:rowOff>0</xdr:rowOff>
    </xdr:from>
    <xdr:ext cx="304800" cy="200025"/>
    <xdr:sp macro="" textlink="">
      <xdr:nvSpPr>
        <xdr:cNvPr id="91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/>
      </xdr:nvSpPr>
      <xdr:spPr bwMode="auto">
        <a:xfrm>
          <a:off x="7143750" y="92868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118</xdr:row>
      <xdr:rowOff>0</xdr:rowOff>
    </xdr:from>
    <xdr:ext cx="302419" cy="200025"/>
    <xdr:sp macro="" textlink="">
      <xdr:nvSpPr>
        <xdr:cNvPr id="92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/>
      </xdr:nvSpPr>
      <xdr:spPr bwMode="auto">
        <a:xfrm>
          <a:off x="7467600" y="9286875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120</xdr:row>
      <xdr:rowOff>9525</xdr:rowOff>
    </xdr:from>
    <xdr:ext cx="304800" cy="206904"/>
    <xdr:sp macro="" textlink="">
      <xdr:nvSpPr>
        <xdr:cNvPr id="93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/>
      </xdr:nvSpPr>
      <xdr:spPr bwMode="auto">
        <a:xfrm>
          <a:off x="1964531" y="9558338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120</xdr:row>
      <xdr:rowOff>9525</xdr:rowOff>
    </xdr:from>
    <xdr:ext cx="302419" cy="206904"/>
    <xdr:sp macro="" textlink="">
      <xdr:nvSpPr>
        <xdr:cNvPr id="94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/>
      </xdr:nvSpPr>
      <xdr:spPr bwMode="auto">
        <a:xfrm>
          <a:off x="2288381" y="9558338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120</xdr:row>
      <xdr:rowOff>9525</xdr:rowOff>
    </xdr:from>
    <xdr:ext cx="304800" cy="206904"/>
    <xdr:sp macro="" textlink="">
      <xdr:nvSpPr>
        <xdr:cNvPr id="95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/>
      </xdr:nvSpPr>
      <xdr:spPr bwMode="auto">
        <a:xfrm>
          <a:off x="4572000" y="9558338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120</xdr:row>
      <xdr:rowOff>9525</xdr:rowOff>
    </xdr:from>
    <xdr:ext cx="302418" cy="206904"/>
    <xdr:sp macro="" textlink="">
      <xdr:nvSpPr>
        <xdr:cNvPr id="96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/>
      </xdr:nvSpPr>
      <xdr:spPr bwMode="auto">
        <a:xfrm>
          <a:off x="4895850" y="9558338"/>
          <a:ext cx="302418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120</xdr:row>
      <xdr:rowOff>9525</xdr:rowOff>
    </xdr:from>
    <xdr:ext cx="304800" cy="206904"/>
    <xdr:sp macro="" textlink="">
      <xdr:nvSpPr>
        <xdr:cNvPr id="97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/>
      </xdr:nvSpPr>
      <xdr:spPr bwMode="auto">
        <a:xfrm>
          <a:off x="7143750" y="9558338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120</xdr:row>
      <xdr:rowOff>9525</xdr:rowOff>
    </xdr:from>
    <xdr:ext cx="302419" cy="206904"/>
    <xdr:sp macro="" textlink="">
      <xdr:nvSpPr>
        <xdr:cNvPr id="98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/>
      </xdr:nvSpPr>
      <xdr:spPr bwMode="auto">
        <a:xfrm>
          <a:off x="7467600" y="9558338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109</xdr:row>
      <xdr:rowOff>0</xdr:rowOff>
    </xdr:from>
    <xdr:ext cx="304800" cy="196851"/>
    <xdr:sp macro="" textlink="">
      <xdr:nvSpPr>
        <xdr:cNvPr id="99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/>
      </xdr:nvSpPr>
      <xdr:spPr bwMode="auto">
        <a:xfrm>
          <a:off x="1964531" y="819150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109</xdr:row>
      <xdr:rowOff>0</xdr:rowOff>
    </xdr:from>
    <xdr:ext cx="302419" cy="196851"/>
    <xdr:sp macro="" textlink="">
      <xdr:nvSpPr>
        <xdr:cNvPr id="100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/>
      </xdr:nvSpPr>
      <xdr:spPr bwMode="auto">
        <a:xfrm>
          <a:off x="2288381" y="8191500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109</xdr:row>
      <xdr:rowOff>0</xdr:rowOff>
    </xdr:from>
    <xdr:ext cx="304800" cy="196850"/>
    <xdr:sp macro="" textlink="">
      <xdr:nvSpPr>
        <xdr:cNvPr id="101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/>
      </xdr:nvSpPr>
      <xdr:spPr bwMode="auto">
        <a:xfrm>
          <a:off x="1964531" y="819150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109</xdr:row>
      <xdr:rowOff>0</xdr:rowOff>
    </xdr:from>
    <xdr:ext cx="302419" cy="196850"/>
    <xdr:sp macro="" textlink="">
      <xdr:nvSpPr>
        <xdr:cNvPr id="102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/>
      </xdr:nvSpPr>
      <xdr:spPr bwMode="auto">
        <a:xfrm>
          <a:off x="2288381" y="8191500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109</xdr:row>
      <xdr:rowOff>0</xdr:rowOff>
    </xdr:from>
    <xdr:ext cx="304800" cy="196851"/>
    <xdr:sp macro="" textlink="">
      <xdr:nvSpPr>
        <xdr:cNvPr id="103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/>
      </xdr:nvSpPr>
      <xdr:spPr bwMode="auto">
        <a:xfrm>
          <a:off x="4572000" y="819150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109</xdr:row>
      <xdr:rowOff>0</xdr:rowOff>
    </xdr:from>
    <xdr:ext cx="302418" cy="196851"/>
    <xdr:sp macro="" textlink="">
      <xdr:nvSpPr>
        <xdr:cNvPr id="104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/>
      </xdr:nvSpPr>
      <xdr:spPr bwMode="auto">
        <a:xfrm>
          <a:off x="4895850" y="8191500"/>
          <a:ext cx="302418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109</xdr:row>
      <xdr:rowOff>0</xdr:rowOff>
    </xdr:from>
    <xdr:ext cx="304800" cy="196851"/>
    <xdr:sp macro="" textlink="">
      <xdr:nvSpPr>
        <xdr:cNvPr id="105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/>
      </xdr:nvSpPr>
      <xdr:spPr bwMode="auto">
        <a:xfrm>
          <a:off x="7143750" y="819150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109</xdr:row>
      <xdr:rowOff>0</xdr:rowOff>
    </xdr:from>
    <xdr:ext cx="302419" cy="196851"/>
    <xdr:sp macro="" textlink="">
      <xdr:nvSpPr>
        <xdr:cNvPr id="106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/>
      </xdr:nvSpPr>
      <xdr:spPr bwMode="auto">
        <a:xfrm>
          <a:off x="7467600" y="8191500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109</xdr:row>
      <xdr:rowOff>0</xdr:rowOff>
    </xdr:from>
    <xdr:ext cx="304800" cy="196850"/>
    <xdr:sp macro="" textlink="">
      <xdr:nvSpPr>
        <xdr:cNvPr id="107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/>
      </xdr:nvSpPr>
      <xdr:spPr bwMode="auto">
        <a:xfrm>
          <a:off x="4572000" y="819150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109</xdr:row>
      <xdr:rowOff>0</xdr:rowOff>
    </xdr:from>
    <xdr:ext cx="302418" cy="196850"/>
    <xdr:sp macro="" textlink="">
      <xdr:nvSpPr>
        <xdr:cNvPr id="108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/>
      </xdr:nvSpPr>
      <xdr:spPr bwMode="auto">
        <a:xfrm>
          <a:off x="4895850" y="8191500"/>
          <a:ext cx="302418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109</xdr:row>
      <xdr:rowOff>0</xdr:rowOff>
    </xdr:from>
    <xdr:ext cx="304800" cy="196850"/>
    <xdr:sp macro="" textlink="">
      <xdr:nvSpPr>
        <xdr:cNvPr id="109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/>
      </xdr:nvSpPr>
      <xdr:spPr bwMode="auto">
        <a:xfrm>
          <a:off x="7143750" y="819150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109</xdr:row>
      <xdr:rowOff>0</xdr:rowOff>
    </xdr:from>
    <xdr:ext cx="302419" cy="196850"/>
    <xdr:sp macro="" textlink="">
      <xdr:nvSpPr>
        <xdr:cNvPr id="110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/>
      </xdr:nvSpPr>
      <xdr:spPr bwMode="auto">
        <a:xfrm>
          <a:off x="7467600" y="8191500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122</xdr:row>
      <xdr:rowOff>0</xdr:rowOff>
    </xdr:from>
    <xdr:ext cx="152400" cy="214312"/>
    <xdr:sp macro="" textlink="">
      <xdr:nvSpPr>
        <xdr:cNvPr id="111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/>
      </xdr:nvSpPr>
      <xdr:spPr bwMode="auto">
        <a:xfrm>
          <a:off x="1964531" y="9810750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123</xdr:row>
      <xdr:rowOff>9525</xdr:rowOff>
    </xdr:from>
    <xdr:ext cx="152400" cy="214312"/>
    <xdr:sp macro="" textlink="">
      <xdr:nvSpPr>
        <xdr:cNvPr id="112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/>
      </xdr:nvSpPr>
      <xdr:spPr bwMode="auto">
        <a:xfrm>
          <a:off x="1964531" y="10034588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124</xdr:row>
      <xdr:rowOff>19050</xdr:rowOff>
    </xdr:from>
    <xdr:ext cx="152400" cy="214313"/>
    <xdr:sp macro="" textlink="">
      <xdr:nvSpPr>
        <xdr:cNvPr id="113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/>
      </xdr:nvSpPr>
      <xdr:spPr bwMode="auto">
        <a:xfrm>
          <a:off x="1964531" y="10258425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123</xdr:row>
      <xdr:rowOff>38100</xdr:rowOff>
    </xdr:from>
    <xdr:ext cx="152400" cy="214312"/>
    <xdr:sp macro="" textlink="">
      <xdr:nvSpPr>
        <xdr:cNvPr id="114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/>
      </xdr:nvSpPr>
      <xdr:spPr bwMode="auto">
        <a:xfrm>
          <a:off x="3133725" y="1006316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122</xdr:row>
      <xdr:rowOff>28575</xdr:rowOff>
    </xdr:from>
    <xdr:ext cx="152400" cy="214312"/>
    <xdr:sp macro="" textlink="">
      <xdr:nvSpPr>
        <xdr:cNvPr id="115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/>
      </xdr:nvSpPr>
      <xdr:spPr bwMode="auto">
        <a:xfrm>
          <a:off x="3133725" y="9839325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122</xdr:row>
      <xdr:rowOff>0</xdr:rowOff>
    </xdr:from>
    <xdr:ext cx="152400" cy="214312"/>
    <xdr:sp macro="" textlink="">
      <xdr:nvSpPr>
        <xdr:cNvPr id="116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/>
      </xdr:nvSpPr>
      <xdr:spPr bwMode="auto">
        <a:xfrm>
          <a:off x="4572000" y="9810750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123</xdr:row>
      <xdr:rowOff>19050</xdr:rowOff>
    </xdr:from>
    <xdr:ext cx="152400" cy="214312"/>
    <xdr:sp macro="" textlink="">
      <xdr:nvSpPr>
        <xdr:cNvPr id="117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/>
      </xdr:nvSpPr>
      <xdr:spPr bwMode="auto">
        <a:xfrm>
          <a:off x="4572000" y="1004411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124</xdr:row>
      <xdr:rowOff>28575</xdr:rowOff>
    </xdr:from>
    <xdr:ext cx="152400" cy="214313"/>
    <xdr:sp macro="" textlink="">
      <xdr:nvSpPr>
        <xdr:cNvPr id="118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/>
      </xdr:nvSpPr>
      <xdr:spPr bwMode="auto">
        <a:xfrm>
          <a:off x="4572000" y="102679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123</xdr:row>
      <xdr:rowOff>38100</xdr:rowOff>
    </xdr:from>
    <xdr:ext cx="152400" cy="214312"/>
    <xdr:sp macro="" textlink="">
      <xdr:nvSpPr>
        <xdr:cNvPr id="119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/>
      </xdr:nvSpPr>
      <xdr:spPr bwMode="auto">
        <a:xfrm>
          <a:off x="5693569" y="1006316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122</xdr:row>
      <xdr:rowOff>28575</xdr:rowOff>
    </xdr:from>
    <xdr:ext cx="152400" cy="214312"/>
    <xdr:sp macro="" textlink="">
      <xdr:nvSpPr>
        <xdr:cNvPr id="120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/>
      </xdr:nvSpPr>
      <xdr:spPr bwMode="auto">
        <a:xfrm>
          <a:off x="5693569" y="9839325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122</xdr:row>
      <xdr:rowOff>0</xdr:rowOff>
    </xdr:from>
    <xdr:ext cx="152400" cy="214312"/>
    <xdr:sp macro="" textlink="">
      <xdr:nvSpPr>
        <xdr:cNvPr id="121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/>
      </xdr:nvSpPr>
      <xdr:spPr bwMode="auto">
        <a:xfrm>
          <a:off x="7143750" y="9810750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123</xdr:row>
      <xdr:rowOff>19050</xdr:rowOff>
    </xdr:from>
    <xdr:ext cx="152400" cy="214312"/>
    <xdr:sp macro="" textlink="">
      <xdr:nvSpPr>
        <xdr:cNvPr id="122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/>
      </xdr:nvSpPr>
      <xdr:spPr bwMode="auto">
        <a:xfrm>
          <a:off x="7143750" y="1004411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124</xdr:row>
      <xdr:rowOff>28575</xdr:rowOff>
    </xdr:from>
    <xdr:ext cx="152400" cy="214313"/>
    <xdr:sp macro="" textlink="">
      <xdr:nvSpPr>
        <xdr:cNvPr id="123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/>
      </xdr:nvSpPr>
      <xdr:spPr bwMode="auto">
        <a:xfrm>
          <a:off x="7143750" y="102679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123</xdr:row>
      <xdr:rowOff>38100</xdr:rowOff>
    </xdr:from>
    <xdr:ext cx="133350" cy="214312"/>
    <xdr:sp macro="" textlink="">
      <xdr:nvSpPr>
        <xdr:cNvPr id="124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/>
      </xdr:nvSpPr>
      <xdr:spPr bwMode="auto">
        <a:xfrm>
          <a:off x="8324850" y="10063163"/>
          <a:ext cx="13335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122</xdr:row>
      <xdr:rowOff>28575</xdr:rowOff>
    </xdr:from>
    <xdr:ext cx="152400" cy="214312"/>
    <xdr:sp macro="" textlink="">
      <xdr:nvSpPr>
        <xdr:cNvPr id="125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/>
      </xdr:nvSpPr>
      <xdr:spPr bwMode="auto">
        <a:xfrm>
          <a:off x="8324850" y="9839325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126</xdr:row>
      <xdr:rowOff>0</xdr:rowOff>
    </xdr:from>
    <xdr:ext cx="152400" cy="216429"/>
    <xdr:sp macro="" textlink="">
      <xdr:nvSpPr>
        <xdr:cNvPr id="126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/>
      </xdr:nvSpPr>
      <xdr:spPr bwMode="auto">
        <a:xfrm>
          <a:off x="1964531" y="10501313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127</xdr:row>
      <xdr:rowOff>9525</xdr:rowOff>
    </xdr:from>
    <xdr:ext cx="152400" cy="214313"/>
    <xdr:sp macro="" textlink="">
      <xdr:nvSpPr>
        <xdr:cNvPr id="127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/>
      </xdr:nvSpPr>
      <xdr:spPr bwMode="auto">
        <a:xfrm>
          <a:off x="1964531" y="107251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128</xdr:row>
      <xdr:rowOff>19050</xdr:rowOff>
    </xdr:from>
    <xdr:ext cx="152400" cy="214313"/>
    <xdr:sp macro="" textlink="">
      <xdr:nvSpPr>
        <xdr:cNvPr id="128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/>
      </xdr:nvSpPr>
      <xdr:spPr bwMode="auto">
        <a:xfrm>
          <a:off x="1964531" y="10948988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126</xdr:row>
      <xdr:rowOff>0</xdr:rowOff>
    </xdr:from>
    <xdr:ext cx="152400" cy="216429"/>
    <xdr:sp macro="" textlink="">
      <xdr:nvSpPr>
        <xdr:cNvPr id="129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/>
      </xdr:nvSpPr>
      <xdr:spPr bwMode="auto">
        <a:xfrm>
          <a:off x="4572000" y="10501313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127</xdr:row>
      <xdr:rowOff>9525</xdr:rowOff>
    </xdr:from>
    <xdr:ext cx="152400" cy="214313"/>
    <xdr:sp macro="" textlink="">
      <xdr:nvSpPr>
        <xdr:cNvPr id="130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/>
      </xdr:nvSpPr>
      <xdr:spPr bwMode="auto">
        <a:xfrm>
          <a:off x="4572000" y="107251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128</xdr:row>
      <xdr:rowOff>19050</xdr:rowOff>
    </xdr:from>
    <xdr:ext cx="152400" cy="214313"/>
    <xdr:sp macro="" textlink="">
      <xdr:nvSpPr>
        <xdr:cNvPr id="131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/>
      </xdr:nvSpPr>
      <xdr:spPr bwMode="auto">
        <a:xfrm>
          <a:off x="4572000" y="10948988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126</xdr:row>
      <xdr:rowOff>0</xdr:rowOff>
    </xdr:from>
    <xdr:ext cx="152400" cy="216429"/>
    <xdr:sp macro="" textlink="">
      <xdr:nvSpPr>
        <xdr:cNvPr id="132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/>
      </xdr:nvSpPr>
      <xdr:spPr bwMode="auto">
        <a:xfrm>
          <a:off x="7143750" y="10501313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127</xdr:row>
      <xdr:rowOff>9525</xdr:rowOff>
    </xdr:from>
    <xdr:ext cx="152400" cy="214313"/>
    <xdr:sp macro="" textlink="">
      <xdr:nvSpPr>
        <xdr:cNvPr id="133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 bwMode="auto">
        <a:xfrm>
          <a:off x="7143750" y="107251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128</xdr:row>
      <xdr:rowOff>19050</xdr:rowOff>
    </xdr:from>
    <xdr:ext cx="152400" cy="214313"/>
    <xdr:sp macro="" textlink="">
      <xdr:nvSpPr>
        <xdr:cNvPr id="134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 bwMode="auto">
        <a:xfrm>
          <a:off x="7143750" y="10948988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204788"/>
    <xdr:sp macro="" textlink="">
      <xdr:nvSpPr>
        <xdr:cNvPr id="189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/>
      </xdr:nvSpPr>
      <xdr:spPr bwMode="auto">
        <a:xfrm>
          <a:off x="1964531" y="14570869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204788"/>
    <xdr:sp macro="" textlink="">
      <xdr:nvSpPr>
        <xdr:cNvPr id="190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/>
      </xdr:nvSpPr>
      <xdr:spPr bwMode="auto">
        <a:xfrm>
          <a:off x="2288381" y="14570869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129</xdr:row>
      <xdr:rowOff>0</xdr:rowOff>
    </xdr:from>
    <xdr:ext cx="304800" cy="200025"/>
    <xdr:sp macro="" textlink="">
      <xdr:nvSpPr>
        <xdr:cNvPr id="191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/>
      </xdr:nvSpPr>
      <xdr:spPr bwMode="auto">
        <a:xfrm>
          <a:off x="4581525" y="14561344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129</xdr:row>
      <xdr:rowOff>0</xdr:rowOff>
    </xdr:from>
    <xdr:ext cx="302418" cy="200025"/>
    <xdr:sp macro="" textlink="">
      <xdr:nvSpPr>
        <xdr:cNvPr id="192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/>
      </xdr:nvSpPr>
      <xdr:spPr bwMode="auto">
        <a:xfrm>
          <a:off x="4905375" y="14561344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200025"/>
    <xdr:sp macro="" textlink="">
      <xdr:nvSpPr>
        <xdr:cNvPr id="193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/>
      </xdr:nvSpPr>
      <xdr:spPr bwMode="auto">
        <a:xfrm>
          <a:off x="7143750" y="14561344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200025"/>
    <xdr:sp macro="" textlink="">
      <xdr:nvSpPr>
        <xdr:cNvPr id="194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/>
      </xdr:nvSpPr>
      <xdr:spPr bwMode="auto">
        <a:xfrm>
          <a:off x="7467600" y="14561344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204788"/>
    <xdr:sp macro="" textlink="">
      <xdr:nvSpPr>
        <xdr:cNvPr id="195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/>
      </xdr:nvSpPr>
      <xdr:spPr bwMode="auto">
        <a:xfrm>
          <a:off x="1964531" y="14832806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204788"/>
    <xdr:sp macro="" textlink="">
      <xdr:nvSpPr>
        <xdr:cNvPr id="196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/>
      </xdr:nvSpPr>
      <xdr:spPr bwMode="auto">
        <a:xfrm>
          <a:off x="2288381" y="14832806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129</xdr:row>
      <xdr:rowOff>0</xdr:rowOff>
    </xdr:from>
    <xdr:ext cx="304800" cy="200025"/>
    <xdr:sp macro="" textlink="">
      <xdr:nvSpPr>
        <xdr:cNvPr id="197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/>
      </xdr:nvSpPr>
      <xdr:spPr bwMode="auto">
        <a:xfrm>
          <a:off x="4581525" y="14823281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129</xdr:row>
      <xdr:rowOff>0</xdr:rowOff>
    </xdr:from>
    <xdr:ext cx="302418" cy="200025"/>
    <xdr:sp macro="" textlink="">
      <xdr:nvSpPr>
        <xdr:cNvPr id="198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/>
      </xdr:nvSpPr>
      <xdr:spPr bwMode="auto">
        <a:xfrm>
          <a:off x="4905375" y="14823281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200025"/>
    <xdr:sp macro="" textlink="">
      <xdr:nvSpPr>
        <xdr:cNvPr id="199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/>
      </xdr:nvSpPr>
      <xdr:spPr bwMode="auto">
        <a:xfrm>
          <a:off x="7143750" y="14823281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200025"/>
    <xdr:sp macro="" textlink="">
      <xdr:nvSpPr>
        <xdr:cNvPr id="200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/>
      </xdr:nvSpPr>
      <xdr:spPr bwMode="auto">
        <a:xfrm>
          <a:off x="7467600" y="14823281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206904"/>
    <xdr:sp macro="" textlink="">
      <xdr:nvSpPr>
        <xdr:cNvPr id="201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/>
      </xdr:nvSpPr>
      <xdr:spPr bwMode="auto">
        <a:xfrm>
          <a:off x="1964531" y="15094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206904"/>
    <xdr:sp macro="" textlink="">
      <xdr:nvSpPr>
        <xdr:cNvPr id="202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/>
      </xdr:nvSpPr>
      <xdr:spPr bwMode="auto">
        <a:xfrm>
          <a:off x="2288381" y="15094744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304800" cy="206904"/>
    <xdr:sp macro="" textlink="">
      <xdr:nvSpPr>
        <xdr:cNvPr id="203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/>
      </xdr:nvSpPr>
      <xdr:spPr bwMode="auto">
        <a:xfrm>
          <a:off x="4572000" y="15094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129</xdr:row>
      <xdr:rowOff>0</xdr:rowOff>
    </xdr:from>
    <xdr:ext cx="302418" cy="206904"/>
    <xdr:sp macro="" textlink="">
      <xdr:nvSpPr>
        <xdr:cNvPr id="204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/>
      </xdr:nvSpPr>
      <xdr:spPr bwMode="auto">
        <a:xfrm>
          <a:off x="4895850" y="15094744"/>
          <a:ext cx="302418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206904"/>
    <xdr:sp macro="" textlink="">
      <xdr:nvSpPr>
        <xdr:cNvPr id="205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/>
      </xdr:nvSpPr>
      <xdr:spPr bwMode="auto">
        <a:xfrm>
          <a:off x="7143750" y="15094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206904"/>
    <xdr:sp macro="" textlink="">
      <xdr:nvSpPr>
        <xdr:cNvPr id="206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/>
      </xdr:nvSpPr>
      <xdr:spPr bwMode="auto">
        <a:xfrm>
          <a:off x="7467600" y="15094744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196851"/>
    <xdr:sp macro="" textlink="">
      <xdr:nvSpPr>
        <xdr:cNvPr id="207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/>
      </xdr:nvSpPr>
      <xdr:spPr bwMode="auto">
        <a:xfrm>
          <a:off x="1964531" y="13727906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196851"/>
    <xdr:sp macro="" textlink="">
      <xdr:nvSpPr>
        <xdr:cNvPr id="208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/>
      </xdr:nvSpPr>
      <xdr:spPr bwMode="auto">
        <a:xfrm>
          <a:off x="2288381" y="13727906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196850"/>
    <xdr:sp macro="" textlink="">
      <xdr:nvSpPr>
        <xdr:cNvPr id="209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/>
      </xdr:nvSpPr>
      <xdr:spPr bwMode="auto">
        <a:xfrm>
          <a:off x="1964531" y="13727906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196850"/>
    <xdr:sp macro="" textlink="">
      <xdr:nvSpPr>
        <xdr:cNvPr id="210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/>
      </xdr:nvSpPr>
      <xdr:spPr bwMode="auto">
        <a:xfrm>
          <a:off x="2288381" y="13727906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304800" cy="196851"/>
    <xdr:sp macro="" textlink="">
      <xdr:nvSpPr>
        <xdr:cNvPr id="211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/>
      </xdr:nvSpPr>
      <xdr:spPr bwMode="auto">
        <a:xfrm>
          <a:off x="4572000" y="13727906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129</xdr:row>
      <xdr:rowOff>0</xdr:rowOff>
    </xdr:from>
    <xdr:ext cx="302418" cy="196851"/>
    <xdr:sp macro="" textlink="">
      <xdr:nvSpPr>
        <xdr:cNvPr id="212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/>
      </xdr:nvSpPr>
      <xdr:spPr bwMode="auto">
        <a:xfrm>
          <a:off x="4895850" y="13727906"/>
          <a:ext cx="302418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196851"/>
    <xdr:sp macro="" textlink="">
      <xdr:nvSpPr>
        <xdr:cNvPr id="213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/>
      </xdr:nvSpPr>
      <xdr:spPr bwMode="auto">
        <a:xfrm>
          <a:off x="7143750" y="13727906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196851"/>
    <xdr:sp macro="" textlink="">
      <xdr:nvSpPr>
        <xdr:cNvPr id="214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/>
      </xdr:nvSpPr>
      <xdr:spPr bwMode="auto">
        <a:xfrm>
          <a:off x="7467600" y="13727906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304800" cy="196850"/>
    <xdr:sp macro="" textlink="">
      <xdr:nvSpPr>
        <xdr:cNvPr id="215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/>
      </xdr:nvSpPr>
      <xdr:spPr bwMode="auto">
        <a:xfrm>
          <a:off x="4572000" y="13727906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129</xdr:row>
      <xdr:rowOff>0</xdr:rowOff>
    </xdr:from>
    <xdr:ext cx="302418" cy="196850"/>
    <xdr:sp macro="" textlink="">
      <xdr:nvSpPr>
        <xdr:cNvPr id="216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/>
      </xdr:nvSpPr>
      <xdr:spPr bwMode="auto">
        <a:xfrm>
          <a:off x="4895850" y="13727906"/>
          <a:ext cx="302418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196850"/>
    <xdr:sp macro="" textlink="">
      <xdr:nvSpPr>
        <xdr:cNvPr id="217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/>
      </xdr:nvSpPr>
      <xdr:spPr bwMode="auto">
        <a:xfrm>
          <a:off x="7143750" y="13727906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196850"/>
    <xdr:sp macro="" textlink="">
      <xdr:nvSpPr>
        <xdr:cNvPr id="218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/>
      </xdr:nvSpPr>
      <xdr:spPr bwMode="auto">
        <a:xfrm>
          <a:off x="7467600" y="13727906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2"/>
    <xdr:sp macro="" textlink="">
      <xdr:nvSpPr>
        <xdr:cNvPr id="219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/>
      </xdr:nvSpPr>
      <xdr:spPr bwMode="auto">
        <a:xfrm>
          <a:off x="1964531" y="15347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2"/>
    <xdr:sp macro="" textlink="">
      <xdr:nvSpPr>
        <xdr:cNvPr id="220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/>
      </xdr:nvSpPr>
      <xdr:spPr bwMode="auto">
        <a:xfrm>
          <a:off x="1964531" y="15570994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3"/>
    <xdr:sp macro="" textlink="">
      <xdr:nvSpPr>
        <xdr:cNvPr id="221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/>
      </xdr:nvSpPr>
      <xdr:spPr bwMode="auto">
        <a:xfrm>
          <a:off x="1964531" y="15794831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129</xdr:row>
      <xdr:rowOff>0</xdr:rowOff>
    </xdr:from>
    <xdr:ext cx="152400" cy="214312"/>
    <xdr:sp macro="" textlink="">
      <xdr:nvSpPr>
        <xdr:cNvPr id="222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/>
      </xdr:nvSpPr>
      <xdr:spPr bwMode="auto">
        <a:xfrm>
          <a:off x="3133725" y="1559956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129</xdr:row>
      <xdr:rowOff>0</xdr:rowOff>
    </xdr:from>
    <xdr:ext cx="152400" cy="214312"/>
    <xdr:sp macro="" textlink="">
      <xdr:nvSpPr>
        <xdr:cNvPr id="223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/>
      </xdr:nvSpPr>
      <xdr:spPr bwMode="auto">
        <a:xfrm>
          <a:off x="3133725" y="15375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2"/>
    <xdr:sp macro="" textlink="">
      <xdr:nvSpPr>
        <xdr:cNvPr id="224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/>
      </xdr:nvSpPr>
      <xdr:spPr bwMode="auto">
        <a:xfrm>
          <a:off x="4572000" y="15347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2"/>
    <xdr:sp macro="" textlink="">
      <xdr:nvSpPr>
        <xdr:cNvPr id="225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/>
      </xdr:nvSpPr>
      <xdr:spPr bwMode="auto">
        <a:xfrm>
          <a:off x="4572000" y="155805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3"/>
    <xdr:sp macro="" textlink="">
      <xdr:nvSpPr>
        <xdr:cNvPr id="226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/>
      </xdr:nvSpPr>
      <xdr:spPr bwMode="auto">
        <a:xfrm>
          <a:off x="4572000" y="158043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129</xdr:row>
      <xdr:rowOff>0</xdr:rowOff>
    </xdr:from>
    <xdr:ext cx="152400" cy="214312"/>
    <xdr:sp macro="" textlink="">
      <xdr:nvSpPr>
        <xdr:cNvPr id="227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/>
      </xdr:nvSpPr>
      <xdr:spPr bwMode="auto">
        <a:xfrm>
          <a:off x="5693569" y="1559956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129</xdr:row>
      <xdr:rowOff>0</xdr:rowOff>
    </xdr:from>
    <xdr:ext cx="152400" cy="214312"/>
    <xdr:sp macro="" textlink="">
      <xdr:nvSpPr>
        <xdr:cNvPr id="228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/>
      </xdr:nvSpPr>
      <xdr:spPr bwMode="auto">
        <a:xfrm>
          <a:off x="5693569" y="15375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2"/>
    <xdr:sp macro="" textlink="">
      <xdr:nvSpPr>
        <xdr:cNvPr id="229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/>
      </xdr:nvSpPr>
      <xdr:spPr bwMode="auto">
        <a:xfrm>
          <a:off x="7143750" y="15347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2"/>
    <xdr:sp macro="" textlink="">
      <xdr:nvSpPr>
        <xdr:cNvPr id="230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/>
      </xdr:nvSpPr>
      <xdr:spPr bwMode="auto">
        <a:xfrm>
          <a:off x="7143750" y="155805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3"/>
    <xdr:sp macro="" textlink="">
      <xdr:nvSpPr>
        <xdr:cNvPr id="231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/>
      </xdr:nvSpPr>
      <xdr:spPr bwMode="auto">
        <a:xfrm>
          <a:off x="7143750" y="158043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129</xdr:row>
      <xdr:rowOff>0</xdr:rowOff>
    </xdr:from>
    <xdr:ext cx="133350" cy="214312"/>
    <xdr:sp macro="" textlink="">
      <xdr:nvSpPr>
        <xdr:cNvPr id="232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/>
      </xdr:nvSpPr>
      <xdr:spPr bwMode="auto">
        <a:xfrm>
          <a:off x="8324850" y="15599569"/>
          <a:ext cx="13335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129</xdr:row>
      <xdr:rowOff>0</xdr:rowOff>
    </xdr:from>
    <xdr:ext cx="152400" cy="214312"/>
    <xdr:sp macro="" textlink="">
      <xdr:nvSpPr>
        <xdr:cNvPr id="233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/>
      </xdr:nvSpPr>
      <xdr:spPr bwMode="auto">
        <a:xfrm>
          <a:off x="8324850" y="15375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6429"/>
    <xdr:sp macro="" textlink="">
      <xdr:nvSpPr>
        <xdr:cNvPr id="234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/>
      </xdr:nvSpPr>
      <xdr:spPr bwMode="auto">
        <a:xfrm>
          <a:off x="1964531" y="16037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3"/>
    <xdr:sp macro="" textlink="">
      <xdr:nvSpPr>
        <xdr:cNvPr id="235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/>
      </xdr:nvSpPr>
      <xdr:spPr bwMode="auto">
        <a:xfrm>
          <a:off x="1964531" y="16261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3"/>
    <xdr:sp macro="" textlink="">
      <xdr:nvSpPr>
        <xdr:cNvPr id="236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/>
      </xdr:nvSpPr>
      <xdr:spPr bwMode="auto">
        <a:xfrm>
          <a:off x="1964531" y="16485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6429"/>
    <xdr:sp macro="" textlink="">
      <xdr:nvSpPr>
        <xdr:cNvPr id="237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/>
      </xdr:nvSpPr>
      <xdr:spPr bwMode="auto">
        <a:xfrm>
          <a:off x="4572000" y="16037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3"/>
    <xdr:sp macro="" textlink="">
      <xdr:nvSpPr>
        <xdr:cNvPr id="238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/>
      </xdr:nvSpPr>
      <xdr:spPr bwMode="auto">
        <a:xfrm>
          <a:off x="4572000" y="16261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3"/>
    <xdr:sp macro="" textlink="">
      <xdr:nvSpPr>
        <xdr:cNvPr id="239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/>
      </xdr:nvSpPr>
      <xdr:spPr bwMode="auto">
        <a:xfrm>
          <a:off x="4572000" y="16485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6429"/>
    <xdr:sp macro="" textlink="">
      <xdr:nvSpPr>
        <xdr:cNvPr id="240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/>
      </xdr:nvSpPr>
      <xdr:spPr bwMode="auto">
        <a:xfrm>
          <a:off x="7143750" y="16037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3"/>
    <xdr:sp macro="" textlink="">
      <xdr:nvSpPr>
        <xdr:cNvPr id="241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/>
      </xdr:nvSpPr>
      <xdr:spPr bwMode="auto">
        <a:xfrm>
          <a:off x="7143750" y="16261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3"/>
    <xdr:sp macro="" textlink="">
      <xdr:nvSpPr>
        <xdr:cNvPr id="242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/>
      </xdr:nvSpPr>
      <xdr:spPr bwMode="auto">
        <a:xfrm>
          <a:off x="7143750" y="16485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204788"/>
    <xdr:sp macro="" textlink="">
      <xdr:nvSpPr>
        <xdr:cNvPr id="243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/>
      </xdr:nvSpPr>
      <xdr:spPr bwMode="auto">
        <a:xfrm>
          <a:off x="1964531" y="14570869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204788"/>
    <xdr:sp macro="" textlink="">
      <xdr:nvSpPr>
        <xdr:cNvPr id="244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/>
      </xdr:nvSpPr>
      <xdr:spPr bwMode="auto">
        <a:xfrm>
          <a:off x="2288381" y="14570869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129</xdr:row>
      <xdr:rowOff>0</xdr:rowOff>
    </xdr:from>
    <xdr:ext cx="304800" cy="200025"/>
    <xdr:sp macro="" textlink="">
      <xdr:nvSpPr>
        <xdr:cNvPr id="245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/>
      </xdr:nvSpPr>
      <xdr:spPr bwMode="auto">
        <a:xfrm>
          <a:off x="4581525" y="14561344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129</xdr:row>
      <xdr:rowOff>0</xdr:rowOff>
    </xdr:from>
    <xdr:ext cx="302418" cy="200025"/>
    <xdr:sp macro="" textlink="">
      <xdr:nvSpPr>
        <xdr:cNvPr id="246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/>
      </xdr:nvSpPr>
      <xdr:spPr bwMode="auto">
        <a:xfrm>
          <a:off x="4905375" y="14561344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200025"/>
    <xdr:sp macro="" textlink="">
      <xdr:nvSpPr>
        <xdr:cNvPr id="247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/>
      </xdr:nvSpPr>
      <xdr:spPr bwMode="auto">
        <a:xfrm>
          <a:off x="7143750" y="14561344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200025"/>
    <xdr:sp macro="" textlink="">
      <xdr:nvSpPr>
        <xdr:cNvPr id="248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/>
      </xdr:nvSpPr>
      <xdr:spPr bwMode="auto">
        <a:xfrm>
          <a:off x="7467600" y="14561344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204788"/>
    <xdr:sp macro="" textlink="">
      <xdr:nvSpPr>
        <xdr:cNvPr id="249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/>
      </xdr:nvSpPr>
      <xdr:spPr bwMode="auto">
        <a:xfrm>
          <a:off x="1964531" y="14832806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204788"/>
    <xdr:sp macro="" textlink="">
      <xdr:nvSpPr>
        <xdr:cNvPr id="250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/>
      </xdr:nvSpPr>
      <xdr:spPr bwMode="auto">
        <a:xfrm>
          <a:off x="2288381" y="14832806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129</xdr:row>
      <xdr:rowOff>0</xdr:rowOff>
    </xdr:from>
    <xdr:ext cx="304800" cy="200025"/>
    <xdr:sp macro="" textlink="">
      <xdr:nvSpPr>
        <xdr:cNvPr id="251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/>
      </xdr:nvSpPr>
      <xdr:spPr bwMode="auto">
        <a:xfrm>
          <a:off x="4581525" y="14823281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129</xdr:row>
      <xdr:rowOff>0</xdr:rowOff>
    </xdr:from>
    <xdr:ext cx="302418" cy="200025"/>
    <xdr:sp macro="" textlink="">
      <xdr:nvSpPr>
        <xdr:cNvPr id="252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/>
      </xdr:nvSpPr>
      <xdr:spPr bwMode="auto">
        <a:xfrm>
          <a:off x="4905375" y="14823281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200025"/>
    <xdr:sp macro="" textlink="">
      <xdr:nvSpPr>
        <xdr:cNvPr id="253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/>
      </xdr:nvSpPr>
      <xdr:spPr bwMode="auto">
        <a:xfrm>
          <a:off x="7143750" y="14823281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200025"/>
    <xdr:sp macro="" textlink="">
      <xdr:nvSpPr>
        <xdr:cNvPr id="254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/>
      </xdr:nvSpPr>
      <xdr:spPr bwMode="auto">
        <a:xfrm>
          <a:off x="7467600" y="14823281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206904"/>
    <xdr:sp macro="" textlink="">
      <xdr:nvSpPr>
        <xdr:cNvPr id="255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/>
      </xdr:nvSpPr>
      <xdr:spPr bwMode="auto">
        <a:xfrm>
          <a:off x="1964531" y="15094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206904"/>
    <xdr:sp macro="" textlink="">
      <xdr:nvSpPr>
        <xdr:cNvPr id="256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/>
      </xdr:nvSpPr>
      <xdr:spPr bwMode="auto">
        <a:xfrm>
          <a:off x="2288381" y="15094744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304800" cy="206904"/>
    <xdr:sp macro="" textlink="">
      <xdr:nvSpPr>
        <xdr:cNvPr id="257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/>
      </xdr:nvSpPr>
      <xdr:spPr bwMode="auto">
        <a:xfrm>
          <a:off x="4572000" y="15094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129</xdr:row>
      <xdr:rowOff>0</xdr:rowOff>
    </xdr:from>
    <xdr:ext cx="302418" cy="206904"/>
    <xdr:sp macro="" textlink="">
      <xdr:nvSpPr>
        <xdr:cNvPr id="258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/>
      </xdr:nvSpPr>
      <xdr:spPr bwMode="auto">
        <a:xfrm>
          <a:off x="4895850" y="15094744"/>
          <a:ext cx="302418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206904"/>
    <xdr:sp macro="" textlink="">
      <xdr:nvSpPr>
        <xdr:cNvPr id="259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/>
      </xdr:nvSpPr>
      <xdr:spPr bwMode="auto">
        <a:xfrm>
          <a:off x="7143750" y="15094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206904"/>
    <xdr:sp macro="" textlink="">
      <xdr:nvSpPr>
        <xdr:cNvPr id="260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/>
      </xdr:nvSpPr>
      <xdr:spPr bwMode="auto">
        <a:xfrm>
          <a:off x="7467600" y="15094744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196851"/>
    <xdr:sp macro="" textlink="">
      <xdr:nvSpPr>
        <xdr:cNvPr id="261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/>
      </xdr:nvSpPr>
      <xdr:spPr bwMode="auto">
        <a:xfrm>
          <a:off x="1964531" y="13727906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196851"/>
    <xdr:sp macro="" textlink="">
      <xdr:nvSpPr>
        <xdr:cNvPr id="262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/>
      </xdr:nvSpPr>
      <xdr:spPr bwMode="auto">
        <a:xfrm>
          <a:off x="2288381" y="13727906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304800" cy="196850"/>
    <xdr:sp macro="" textlink="">
      <xdr:nvSpPr>
        <xdr:cNvPr id="263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/>
      </xdr:nvSpPr>
      <xdr:spPr bwMode="auto">
        <a:xfrm>
          <a:off x="1964531" y="13727906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129</xdr:row>
      <xdr:rowOff>0</xdr:rowOff>
    </xdr:from>
    <xdr:ext cx="302419" cy="196850"/>
    <xdr:sp macro="" textlink="">
      <xdr:nvSpPr>
        <xdr:cNvPr id="264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/>
      </xdr:nvSpPr>
      <xdr:spPr bwMode="auto">
        <a:xfrm>
          <a:off x="2288381" y="13727906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304800" cy="196851"/>
    <xdr:sp macro="" textlink="">
      <xdr:nvSpPr>
        <xdr:cNvPr id="265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/>
      </xdr:nvSpPr>
      <xdr:spPr bwMode="auto">
        <a:xfrm>
          <a:off x="4572000" y="13727906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129</xdr:row>
      <xdr:rowOff>0</xdr:rowOff>
    </xdr:from>
    <xdr:ext cx="302418" cy="196851"/>
    <xdr:sp macro="" textlink="">
      <xdr:nvSpPr>
        <xdr:cNvPr id="266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/>
      </xdr:nvSpPr>
      <xdr:spPr bwMode="auto">
        <a:xfrm>
          <a:off x="4895850" y="13727906"/>
          <a:ext cx="302418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196851"/>
    <xdr:sp macro="" textlink="">
      <xdr:nvSpPr>
        <xdr:cNvPr id="267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/>
      </xdr:nvSpPr>
      <xdr:spPr bwMode="auto">
        <a:xfrm>
          <a:off x="7143750" y="13727906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196851"/>
    <xdr:sp macro="" textlink="">
      <xdr:nvSpPr>
        <xdr:cNvPr id="268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/>
      </xdr:nvSpPr>
      <xdr:spPr bwMode="auto">
        <a:xfrm>
          <a:off x="7467600" y="13727906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304800" cy="196850"/>
    <xdr:sp macro="" textlink="">
      <xdr:nvSpPr>
        <xdr:cNvPr id="269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/>
      </xdr:nvSpPr>
      <xdr:spPr bwMode="auto">
        <a:xfrm>
          <a:off x="4572000" y="13727906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129</xdr:row>
      <xdr:rowOff>0</xdr:rowOff>
    </xdr:from>
    <xdr:ext cx="302418" cy="196850"/>
    <xdr:sp macro="" textlink="">
      <xdr:nvSpPr>
        <xdr:cNvPr id="270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/>
      </xdr:nvSpPr>
      <xdr:spPr bwMode="auto">
        <a:xfrm>
          <a:off x="4895850" y="13727906"/>
          <a:ext cx="302418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304800" cy="196850"/>
    <xdr:sp macro="" textlink="">
      <xdr:nvSpPr>
        <xdr:cNvPr id="271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/>
      </xdr:nvSpPr>
      <xdr:spPr bwMode="auto">
        <a:xfrm>
          <a:off x="7143750" y="13727906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129</xdr:row>
      <xdr:rowOff>0</xdr:rowOff>
    </xdr:from>
    <xdr:ext cx="302419" cy="196850"/>
    <xdr:sp macro="" textlink="">
      <xdr:nvSpPr>
        <xdr:cNvPr id="272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/>
      </xdr:nvSpPr>
      <xdr:spPr bwMode="auto">
        <a:xfrm>
          <a:off x="7467600" y="13727906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2"/>
    <xdr:sp macro="" textlink="">
      <xdr:nvSpPr>
        <xdr:cNvPr id="273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/>
      </xdr:nvSpPr>
      <xdr:spPr bwMode="auto">
        <a:xfrm>
          <a:off x="1964531" y="15347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2"/>
    <xdr:sp macro="" textlink="">
      <xdr:nvSpPr>
        <xdr:cNvPr id="274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/>
      </xdr:nvSpPr>
      <xdr:spPr bwMode="auto">
        <a:xfrm>
          <a:off x="1964531" y="15570994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3"/>
    <xdr:sp macro="" textlink="">
      <xdr:nvSpPr>
        <xdr:cNvPr id="275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/>
      </xdr:nvSpPr>
      <xdr:spPr bwMode="auto">
        <a:xfrm>
          <a:off x="1964531" y="15794831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129</xdr:row>
      <xdr:rowOff>0</xdr:rowOff>
    </xdr:from>
    <xdr:ext cx="152400" cy="214312"/>
    <xdr:sp macro="" textlink="">
      <xdr:nvSpPr>
        <xdr:cNvPr id="276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/>
      </xdr:nvSpPr>
      <xdr:spPr bwMode="auto">
        <a:xfrm>
          <a:off x="3133725" y="1559956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129</xdr:row>
      <xdr:rowOff>0</xdr:rowOff>
    </xdr:from>
    <xdr:ext cx="152400" cy="214312"/>
    <xdr:sp macro="" textlink="">
      <xdr:nvSpPr>
        <xdr:cNvPr id="277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/>
      </xdr:nvSpPr>
      <xdr:spPr bwMode="auto">
        <a:xfrm>
          <a:off x="3133725" y="15375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2"/>
    <xdr:sp macro="" textlink="">
      <xdr:nvSpPr>
        <xdr:cNvPr id="278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/>
      </xdr:nvSpPr>
      <xdr:spPr bwMode="auto">
        <a:xfrm>
          <a:off x="4572000" y="15347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2"/>
    <xdr:sp macro="" textlink="">
      <xdr:nvSpPr>
        <xdr:cNvPr id="279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/>
      </xdr:nvSpPr>
      <xdr:spPr bwMode="auto">
        <a:xfrm>
          <a:off x="4572000" y="155805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3"/>
    <xdr:sp macro="" textlink="">
      <xdr:nvSpPr>
        <xdr:cNvPr id="280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/>
      </xdr:nvSpPr>
      <xdr:spPr bwMode="auto">
        <a:xfrm>
          <a:off x="4572000" y="158043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129</xdr:row>
      <xdr:rowOff>0</xdr:rowOff>
    </xdr:from>
    <xdr:ext cx="152400" cy="214312"/>
    <xdr:sp macro="" textlink="">
      <xdr:nvSpPr>
        <xdr:cNvPr id="281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/>
      </xdr:nvSpPr>
      <xdr:spPr bwMode="auto">
        <a:xfrm>
          <a:off x="5693569" y="1559956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129</xdr:row>
      <xdr:rowOff>0</xdr:rowOff>
    </xdr:from>
    <xdr:ext cx="152400" cy="214312"/>
    <xdr:sp macro="" textlink="">
      <xdr:nvSpPr>
        <xdr:cNvPr id="282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/>
      </xdr:nvSpPr>
      <xdr:spPr bwMode="auto">
        <a:xfrm>
          <a:off x="5693569" y="15375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2"/>
    <xdr:sp macro="" textlink="">
      <xdr:nvSpPr>
        <xdr:cNvPr id="283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/>
      </xdr:nvSpPr>
      <xdr:spPr bwMode="auto">
        <a:xfrm>
          <a:off x="7143750" y="15347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2"/>
    <xdr:sp macro="" textlink="">
      <xdr:nvSpPr>
        <xdr:cNvPr id="284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/>
      </xdr:nvSpPr>
      <xdr:spPr bwMode="auto">
        <a:xfrm>
          <a:off x="7143750" y="155805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3"/>
    <xdr:sp macro="" textlink="">
      <xdr:nvSpPr>
        <xdr:cNvPr id="285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/>
      </xdr:nvSpPr>
      <xdr:spPr bwMode="auto">
        <a:xfrm>
          <a:off x="7143750" y="158043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129</xdr:row>
      <xdr:rowOff>0</xdr:rowOff>
    </xdr:from>
    <xdr:ext cx="133350" cy="214312"/>
    <xdr:sp macro="" textlink="">
      <xdr:nvSpPr>
        <xdr:cNvPr id="286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/>
      </xdr:nvSpPr>
      <xdr:spPr bwMode="auto">
        <a:xfrm>
          <a:off x="8324850" y="15599569"/>
          <a:ext cx="13335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129</xdr:row>
      <xdr:rowOff>0</xdr:rowOff>
    </xdr:from>
    <xdr:ext cx="152400" cy="214312"/>
    <xdr:sp macro="" textlink="">
      <xdr:nvSpPr>
        <xdr:cNvPr id="287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/>
      </xdr:nvSpPr>
      <xdr:spPr bwMode="auto">
        <a:xfrm>
          <a:off x="8324850" y="15375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6429"/>
    <xdr:sp macro="" textlink="">
      <xdr:nvSpPr>
        <xdr:cNvPr id="288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/>
      </xdr:nvSpPr>
      <xdr:spPr bwMode="auto">
        <a:xfrm>
          <a:off x="1964531" y="16037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3"/>
    <xdr:sp macro="" textlink="">
      <xdr:nvSpPr>
        <xdr:cNvPr id="289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/>
      </xdr:nvSpPr>
      <xdr:spPr bwMode="auto">
        <a:xfrm>
          <a:off x="1964531" y="16261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214313"/>
    <xdr:sp macro="" textlink="">
      <xdr:nvSpPr>
        <xdr:cNvPr id="290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/>
      </xdr:nvSpPr>
      <xdr:spPr bwMode="auto">
        <a:xfrm>
          <a:off x="1964531" y="16485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6429"/>
    <xdr:sp macro="" textlink="">
      <xdr:nvSpPr>
        <xdr:cNvPr id="291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/>
      </xdr:nvSpPr>
      <xdr:spPr bwMode="auto">
        <a:xfrm>
          <a:off x="4572000" y="16037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3"/>
    <xdr:sp macro="" textlink="">
      <xdr:nvSpPr>
        <xdr:cNvPr id="292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/>
      </xdr:nvSpPr>
      <xdr:spPr bwMode="auto">
        <a:xfrm>
          <a:off x="4572000" y="16261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129</xdr:row>
      <xdr:rowOff>0</xdr:rowOff>
    </xdr:from>
    <xdr:ext cx="152400" cy="214313"/>
    <xdr:sp macro="" textlink="">
      <xdr:nvSpPr>
        <xdr:cNvPr id="293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/>
      </xdr:nvSpPr>
      <xdr:spPr bwMode="auto">
        <a:xfrm>
          <a:off x="4572000" y="16485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6429"/>
    <xdr:sp macro="" textlink="">
      <xdr:nvSpPr>
        <xdr:cNvPr id="294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/>
      </xdr:nvSpPr>
      <xdr:spPr bwMode="auto">
        <a:xfrm>
          <a:off x="7143750" y="16037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3"/>
    <xdr:sp macro="" textlink="">
      <xdr:nvSpPr>
        <xdr:cNvPr id="295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/>
      </xdr:nvSpPr>
      <xdr:spPr bwMode="auto">
        <a:xfrm>
          <a:off x="7143750" y="16261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129</xdr:row>
      <xdr:rowOff>0</xdr:rowOff>
    </xdr:from>
    <xdr:ext cx="152400" cy="214313"/>
    <xdr:sp macro="" textlink="">
      <xdr:nvSpPr>
        <xdr:cNvPr id="296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/>
      </xdr:nvSpPr>
      <xdr:spPr bwMode="auto">
        <a:xfrm>
          <a:off x="7143750" y="16485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112</xdr:row>
      <xdr:rowOff>9525</xdr:rowOff>
    </xdr:from>
    <xdr:ext cx="304800" cy="204788"/>
    <xdr:sp macro="" textlink="">
      <xdr:nvSpPr>
        <xdr:cNvPr id="297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/>
      </xdr:nvSpPr>
      <xdr:spPr bwMode="auto">
        <a:xfrm>
          <a:off x="1964531" y="8462963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112</xdr:row>
      <xdr:rowOff>9525</xdr:rowOff>
    </xdr:from>
    <xdr:ext cx="302419" cy="204788"/>
    <xdr:sp macro="" textlink="">
      <xdr:nvSpPr>
        <xdr:cNvPr id="298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/>
      </xdr:nvSpPr>
      <xdr:spPr bwMode="auto">
        <a:xfrm>
          <a:off x="2288381" y="8462963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112</xdr:row>
      <xdr:rowOff>0</xdr:rowOff>
    </xdr:from>
    <xdr:ext cx="304800" cy="200025"/>
    <xdr:sp macro="" textlink="">
      <xdr:nvSpPr>
        <xdr:cNvPr id="299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/>
      </xdr:nvSpPr>
      <xdr:spPr bwMode="auto">
        <a:xfrm>
          <a:off x="4581525" y="8453438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112</xdr:row>
      <xdr:rowOff>0</xdr:rowOff>
    </xdr:from>
    <xdr:ext cx="302418" cy="200025"/>
    <xdr:sp macro="" textlink="">
      <xdr:nvSpPr>
        <xdr:cNvPr id="300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/>
      </xdr:nvSpPr>
      <xdr:spPr bwMode="auto">
        <a:xfrm>
          <a:off x="4905375" y="8453438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112</xdr:row>
      <xdr:rowOff>0</xdr:rowOff>
    </xdr:from>
    <xdr:ext cx="304800" cy="200025"/>
    <xdr:sp macro="" textlink="">
      <xdr:nvSpPr>
        <xdr:cNvPr id="301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/>
      </xdr:nvSpPr>
      <xdr:spPr bwMode="auto">
        <a:xfrm>
          <a:off x="7143750" y="8453438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112</xdr:row>
      <xdr:rowOff>0</xdr:rowOff>
    </xdr:from>
    <xdr:ext cx="302419" cy="200025"/>
    <xdr:sp macro="" textlink="">
      <xdr:nvSpPr>
        <xdr:cNvPr id="302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/>
      </xdr:nvSpPr>
      <xdr:spPr bwMode="auto">
        <a:xfrm>
          <a:off x="7467600" y="8453438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114</xdr:row>
      <xdr:rowOff>9525</xdr:rowOff>
    </xdr:from>
    <xdr:ext cx="304800" cy="204788"/>
    <xdr:sp macro="" textlink="">
      <xdr:nvSpPr>
        <xdr:cNvPr id="303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/>
      </xdr:nvSpPr>
      <xdr:spPr bwMode="auto">
        <a:xfrm>
          <a:off x="1964531" y="8724900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114</xdr:row>
      <xdr:rowOff>9525</xdr:rowOff>
    </xdr:from>
    <xdr:ext cx="302419" cy="204788"/>
    <xdr:sp macro="" textlink="">
      <xdr:nvSpPr>
        <xdr:cNvPr id="304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/>
      </xdr:nvSpPr>
      <xdr:spPr bwMode="auto">
        <a:xfrm>
          <a:off x="2288381" y="8724900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114</xdr:row>
      <xdr:rowOff>0</xdr:rowOff>
    </xdr:from>
    <xdr:ext cx="304800" cy="200025"/>
    <xdr:sp macro="" textlink="">
      <xdr:nvSpPr>
        <xdr:cNvPr id="305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/>
      </xdr:nvSpPr>
      <xdr:spPr bwMode="auto">
        <a:xfrm>
          <a:off x="4581525" y="87153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114</xdr:row>
      <xdr:rowOff>0</xdr:rowOff>
    </xdr:from>
    <xdr:ext cx="302418" cy="200025"/>
    <xdr:sp macro="" textlink="">
      <xdr:nvSpPr>
        <xdr:cNvPr id="306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/>
      </xdr:nvSpPr>
      <xdr:spPr bwMode="auto">
        <a:xfrm>
          <a:off x="4905375" y="8715375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114</xdr:row>
      <xdr:rowOff>0</xdr:rowOff>
    </xdr:from>
    <xdr:ext cx="304800" cy="200025"/>
    <xdr:sp macro="" textlink="">
      <xdr:nvSpPr>
        <xdr:cNvPr id="307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/>
      </xdr:nvSpPr>
      <xdr:spPr bwMode="auto">
        <a:xfrm>
          <a:off x="7143750" y="8715375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114</xdr:row>
      <xdr:rowOff>0</xdr:rowOff>
    </xdr:from>
    <xdr:ext cx="302419" cy="200025"/>
    <xdr:sp macro="" textlink="">
      <xdr:nvSpPr>
        <xdr:cNvPr id="308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/>
      </xdr:nvSpPr>
      <xdr:spPr bwMode="auto">
        <a:xfrm>
          <a:off x="7467600" y="8715375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116</xdr:row>
      <xdr:rowOff>9525</xdr:rowOff>
    </xdr:from>
    <xdr:ext cx="304800" cy="206904"/>
    <xdr:sp macro="" textlink="">
      <xdr:nvSpPr>
        <xdr:cNvPr id="309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/>
      </xdr:nvSpPr>
      <xdr:spPr bwMode="auto">
        <a:xfrm>
          <a:off x="1964531" y="8986838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116</xdr:row>
      <xdr:rowOff>9525</xdr:rowOff>
    </xdr:from>
    <xdr:ext cx="302419" cy="206904"/>
    <xdr:sp macro="" textlink="">
      <xdr:nvSpPr>
        <xdr:cNvPr id="310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/>
      </xdr:nvSpPr>
      <xdr:spPr bwMode="auto">
        <a:xfrm>
          <a:off x="2288381" y="8986838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116</xdr:row>
      <xdr:rowOff>9525</xdr:rowOff>
    </xdr:from>
    <xdr:ext cx="304800" cy="206904"/>
    <xdr:sp macro="" textlink="">
      <xdr:nvSpPr>
        <xdr:cNvPr id="311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/>
      </xdr:nvSpPr>
      <xdr:spPr bwMode="auto">
        <a:xfrm>
          <a:off x="4572000" y="8986838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116</xdr:row>
      <xdr:rowOff>9525</xdr:rowOff>
    </xdr:from>
    <xdr:ext cx="302418" cy="206904"/>
    <xdr:sp macro="" textlink="">
      <xdr:nvSpPr>
        <xdr:cNvPr id="312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/>
      </xdr:nvSpPr>
      <xdr:spPr bwMode="auto">
        <a:xfrm>
          <a:off x="4895850" y="8986838"/>
          <a:ext cx="302418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116</xdr:row>
      <xdr:rowOff>9525</xdr:rowOff>
    </xdr:from>
    <xdr:ext cx="304800" cy="206904"/>
    <xdr:sp macro="" textlink="">
      <xdr:nvSpPr>
        <xdr:cNvPr id="313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/>
      </xdr:nvSpPr>
      <xdr:spPr bwMode="auto">
        <a:xfrm>
          <a:off x="7143750" y="8986838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116</xdr:row>
      <xdr:rowOff>9525</xdr:rowOff>
    </xdr:from>
    <xdr:ext cx="302419" cy="206904"/>
    <xdr:sp macro="" textlink="">
      <xdr:nvSpPr>
        <xdr:cNvPr id="314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/>
      </xdr:nvSpPr>
      <xdr:spPr bwMode="auto">
        <a:xfrm>
          <a:off x="7467600" y="8986838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99</xdr:row>
      <xdr:rowOff>0</xdr:rowOff>
    </xdr:from>
    <xdr:ext cx="304800" cy="196851"/>
    <xdr:sp macro="" textlink="">
      <xdr:nvSpPr>
        <xdr:cNvPr id="315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/>
      </xdr:nvSpPr>
      <xdr:spPr bwMode="auto">
        <a:xfrm>
          <a:off x="1964531" y="7608094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99</xdr:row>
      <xdr:rowOff>0</xdr:rowOff>
    </xdr:from>
    <xdr:ext cx="302419" cy="196851"/>
    <xdr:sp macro="" textlink="">
      <xdr:nvSpPr>
        <xdr:cNvPr id="316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3C010000}"/>
            </a:ext>
          </a:extLst>
        </xdr:cNvPr>
        <xdr:cNvSpPr/>
      </xdr:nvSpPr>
      <xdr:spPr bwMode="auto">
        <a:xfrm>
          <a:off x="2288381" y="7608094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99</xdr:row>
      <xdr:rowOff>0</xdr:rowOff>
    </xdr:from>
    <xdr:ext cx="304800" cy="196850"/>
    <xdr:sp macro="" textlink="">
      <xdr:nvSpPr>
        <xdr:cNvPr id="317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3D010000}"/>
            </a:ext>
          </a:extLst>
        </xdr:cNvPr>
        <xdr:cNvSpPr/>
      </xdr:nvSpPr>
      <xdr:spPr bwMode="auto">
        <a:xfrm>
          <a:off x="1964531" y="7608094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99</xdr:row>
      <xdr:rowOff>0</xdr:rowOff>
    </xdr:from>
    <xdr:ext cx="302419" cy="196850"/>
    <xdr:sp macro="" textlink="">
      <xdr:nvSpPr>
        <xdr:cNvPr id="318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3E010000}"/>
            </a:ext>
          </a:extLst>
        </xdr:cNvPr>
        <xdr:cNvSpPr/>
      </xdr:nvSpPr>
      <xdr:spPr bwMode="auto">
        <a:xfrm>
          <a:off x="2288381" y="7608094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99</xdr:row>
      <xdr:rowOff>0</xdr:rowOff>
    </xdr:from>
    <xdr:ext cx="304800" cy="196851"/>
    <xdr:sp macro="" textlink="">
      <xdr:nvSpPr>
        <xdr:cNvPr id="319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3F010000}"/>
            </a:ext>
          </a:extLst>
        </xdr:cNvPr>
        <xdr:cNvSpPr/>
      </xdr:nvSpPr>
      <xdr:spPr bwMode="auto">
        <a:xfrm>
          <a:off x="4572000" y="7608094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99</xdr:row>
      <xdr:rowOff>0</xdr:rowOff>
    </xdr:from>
    <xdr:ext cx="302418" cy="196851"/>
    <xdr:sp macro="" textlink="">
      <xdr:nvSpPr>
        <xdr:cNvPr id="320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40010000}"/>
            </a:ext>
          </a:extLst>
        </xdr:cNvPr>
        <xdr:cNvSpPr/>
      </xdr:nvSpPr>
      <xdr:spPr bwMode="auto">
        <a:xfrm>
          <a:off x="4895850" y="7608094"/>
          <a:ext cx="302418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99</xdr:row>
      <xdr:rowOff>0</xdr:rowOff>
    </xdr:from>
    <xdr:ext cx="304800" cy="196851"/>
    <xdr:sp macro="" textlink="">
      <xdr:nvSpPr>
        <xdr:cNvPr id="321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41010000}"/>
            </a:ext>
          </a:extLst>
        </xdr:cNvPr>
        <xdr:cNvSpPr/>
      </xdr:nvSpPr>
      <xdr:spPr bwMode="auto">
        <a:xfrm>
          <a:off x="7143750" y="7608094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99</xdr:row>
      <xdr:rowOff>0</xdr:rowOff>
    </xdr:from>
    <xdr:ext cx="302419" cy="196851"/>
    <xdr:sp macro="" textlink="">
      <xdr:nvSpPr>
        <xdr:cNvPr id="322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42010000}"/>
            </a:ext>
          </a:extLst>
        </xdr:cNvPr>
        <xdr:cNvSpPr/>
      </xdr:nvSpPr>
      <xdr:spPr bwMode="auto">
        <a:xfrm>
          <a:off x="7467600" y="7608094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99</xdr:row>
      <xdr:rowOff>0</xdr:rowOff>
    </xdr:from>
    <xdr:ext cx="304800" cy="196850"/>
    <xdr:sp macro="" textlink="">
      <xdr:nvSpPr>
        <xdr:cNvPr id="323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43010000}"/>
            </a:ext>
          </a:extLst>
        </xdr:cNvPr>
        <xdr:cNvSpPr/>
      </xdr:nvSpPr>
      <xdr:spPr bwMode="auto">
        <a:xfrm>
          <a:off x="4572000" y="7608094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99</xdr:row>
      <xdr:rowOff>0</xdr:rowOff>
    </xdr:from>
    <xdr:ext cx="302418" cy="196850"/>
    <xdr:sp macro="" textlink="">
      <xdr:nvSpPr>
        <xdr:cNvPr id="324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44010000}"/>
            </a:ext>
          </a:extLst>
        </xdr:cNvPr>
        <xdr:cNvSpPr/>
      </xdr:nvSpPr>
      <xdr:spPr bwMode="auto">
        <a:xfrm>
          <a:off x="4895850" y="7608094"/>
          <a:ext cx="302418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99</xdr:row>
      <xdr:rowOff>0</xdr:rowOff>
    </xdr:from>
    <xdr:ext cx="304800" cy="196850"/>
    <xdr:sp macro="" textlink="">
      <xdr:nvSpPr>
        <xdr:cNvPr id="325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45010000}"/>
            </a:ext>
          </a:extLst>
        </xdr:cNvPr>
        <xdr:cNvSpPr/>
      </xdr:nvSpPr>
      <xdr:spPr bwMode="auto">
        <a:xfrm>
          <a:off x="7143750" y="7608094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99</xdr:row>
      <xdr:rowOff>0</xdr:rowOff>
    </xdr:from>
    <xdr:ext cx="302419" cy="196850"/>
    <xdr:sp macro="" textlink="">
      <xdr:nvSpPr>
        <xdr:cNvPr id="326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46010000}"/>
            </a:ext>
          </a:extLst>
        </xdr:cNvPr>
        <xdr:cNvSpPr/>
      </xdr:nvSpPr>
      <xdr:spPr bwMode="auto">
        <a:xfrm>
          <a:off x="7467600" y="7608094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118</xdr:row>
      <xdr:rowOff>0</xdr:rowOff>
    </xdr:from>
    <xdr:ext cx="152400" cy="214312"/>
    <xdr:sp macro="" textlink="">
      <xdr:nvSpPr>
        <xdr:cNvPr id="327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47010000}"/>
            </a:ext>
          </a:extLst>
        </xdr:cNvPr>
        <xdr:cNvSpPr/>
      </xdr:nvSpPr>
      <xdr:spPr bwMode="auto">
        <a:xfrm>
          <a:off x="1964531" y="9239250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119</xdr:row>
      <xdr:rowOff>9525</xdr:rowOff>
    </xdr:from>
    <xdr:ext cx="152400" cy="214312"/>
    <xdr:sp macro="" textlink="">
      <xdr:nvSpPr>
        <xdr:cNvPr id="328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48010000}"/>
            </a:ext>
          </a:extLst>
        </xdr:cNvPr>
        <xdr:cNvSpPr/>
      </xdr:nvSpPr>
      <xdr:spPr bwMode="auto">
        <a:xfrm>
          <a:off x="1964531" y="9463088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120</xdr:row>
      <xdr:rowOff>19050</xdr:rowOff>
    </xdr:from>
    <xdr:ext cx="152400" cy="214313"/>
    <xdr:sp macro="" textlink="">
      <xdr:nvSpPr>
        <xdr:cNvPr id="329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49010000}"/>
            </a:ext>
          </a:extLst>
        </xdr:cNvPr>
        <xdr:cNvSpPr/>
      </xdr:nvSpPr>
      <xdr:spPr bwMode="auto">
        <a:xfrm>
          <a:off x="1964531" y="9686925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119</xdr:row>
      <xdr:rowOff>38100</xdr:rowOff>
    </xdr:from>
    <xdr:ext cx="152400" cy="214312"/>
    <xdr:sp macro="" textlink="">
      <xdr:nvSpPr>
        <xdr:cNvPr id="330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4A010000}"/>
            </a:ext>
          </a:extLst>
        </xdr:cNvPr>
        <xdr:cNvSpPr/>
      </xdr:nvSpPr>
      <xdr:spPr bwMode="auto">
        <a:xfrm>
          <a:off x="3133725" y="949166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118</xdr:row>
      <xdr:rowOff>28575</xdr:rowOff>
    </xdr:from>
    <xdr:ext cx="152400" cy="214312"/>
    <xdr:sp macro="" textlink="">
      <xdr:nvSpPr>
        <xdr:cNvPr id="331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4B010000}"/>
            </a:ext>
          </a:extLst>
        </xdr:cNvPr>
        <xdr:cNvSpPr/>
      </xdr:nvSpPr>
      <xdr:spPr bwMode="auto">
        <a:xfrm>
          <a:off x="3133725" y="9267825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118</xdr:row>
      <xdr:rowOff>0</xdr:rowOff>
    </xdr:from>
    <xdr:ext cx="152400" cy="214312"/>
    <xdr:sp macro="" textlink="">
      <xdr:nvSpPr>
        <xdr:cNvPr id="332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4C010000}"/>
            </a:ext>
          </a:extLst>
        </xdr:cNvPr>
        <xdr:cNvSpPr/>
      </xdr:nvSpPr>
      <xdr:spPr bwMode="auto">
        <a:xfrm>
          <a:off x="4572000" y="9239250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119</xdr:row>
      <xdr:rowOff>19050</xdr:rowOff>
    </xdr:from>
    <xdr:ext cx="152400" cy="214312"/>
    <xdr:sp macro="" textlink="">
      <xdr:nvSpPr>
        <xdr:cNvPr id="333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4D010000}"/>
            </a:ext>
          </a:extLst>
        </xdr:cNvPr>
        <xdr:cNvSpPr/>
      </xdr:nvSpPr>
      <xdr:spPr bwMode="auto">
        <a:xfrm>
          <a:off x="4572000" y="947261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120</xdr:row>
      <xdr:rowOff>28575</xdr:rowOff>
    </xdr:from>
    <xdr:ext cx="152400" cy="214313"/>
    <xdr:sp macro="" textlink="">
      <xdr:nvSpPr>
        <xdr:cNvPr id="334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4E010000}"/>
            </a:ext>
          </a:extLst>
        </xdr:cNvPr>
        <xdr:cNvSpPr/>
      </xdr:nvSpPr>
      <xdr:spPr bwMode="auto">
        <a:xfrm>
          <a:off x="4572000" y="96964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119</xdr:row>
      <xdr:rowOff>38100</xdr:rowOff>
    </xdr:from>
    <xdr:ext cx="152400" cy="214312"/>
    <xdr:sp macro="" textlink="">
      <xdr:nvSpPr>
        <xdr:cNvPr id="335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4F010000}"/>
            </a:ext>
          </a:extLst>
        </xdr:cNvPr>
        <xdr:cNvSpPr/>
      </xdr:nvSpPr>
      <xdr:spPr bwMode="auto">
        <a:xfrm>
          <a:off x="5693569" y="949166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118</xdr:row>
      <xdr:rowOff>28575</xdr:rowOff>
    </xdr:from>
    <xdr:ext cx="152400" cy="214312"/>
    <xdr:sp macro="" textlink="">
      <xdr:nvSpPr>
        <xdr:cNvPr id="336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50010000}"/>
            </a:ext>
          </a:extLst>
        </xdr:cNvPr>
        <xdr:cNvSpPr/>
      </xdr:nvSpPr>
      <xdr:spPr bwMode="auto">
        <a:xfrm>
          <a:off x="5693569" y="9267825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118</xdr:row>
      <xdr:rowOff>0</xdr:rowOff>
    </xdr:from>
    <xdr:ext cx="152400" cy="214312"/>
    <xdr:sp macro="" textlink="">
      <xdr:nvSpPr>
        <xdr:cNvPr id="337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51010000}"/>
            </a:ext>
          </a:extLst>
        </xdr:cNvPr>
        <xdr:cNvSpPr/>
      </xdr:nvSpPr>
      <xdr:spPr bwMode="auto">
        <a:xfrm>
          <a:off x="7143750" y="9239250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119</xdr:row>
      <xdr:rowOff>19050</xdr:rowOff>
    </xdr:from>
    <xdr:ext cx="152400" cy="214312"/>
    <xdr:sp macro="" textlink="">
      <xdr:nvSpPr>
        <xdr:cNvPr id="338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52010000}"/>
            </a:ext>
          </a:extLst>
        </xdr:cNvPr>
        <xdr:cNvSpPr/>
      </xdr:nvSpPr>
      <xdr:spPr bwMode="auto">
        <a:xfrm>
          <a:off x="7143750" y="9472613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120</xdr:row>
      <xdr:rowOff>28575</xdr:rowOff>
    </xdr:from>
    <xdr:ext cx="152400" cy="214313"/>
    <xdr:sp macro="" textlink="">
      <xdr:nvSpPr>
        <xdr:cNvPr id="339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53010000}"/>
            </a:ext>
          </a:extLst>
        </xdr:cNvPr>
        <xdr:cNvSpPr/>
      </xdr:nvSpPr>
      <xdr:spPr bwMode="auto">
        <a:xfrm>
          <a:off x="7143750" y="96964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119</xdr:row>
      <xdr:rowOff>38100</xdr:rowOff>
    </xdr:from>
    <xdr:ext cx="133350" cy="214312"/>
    <xdr:sp macro="" textlink="">
      <xdr:nvSpPr>
        <xdr:cNvPr id="340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54010000}"/>
            </a:ext>
          </a:extLst>
        </xdr:cNvPr>
        <xdr:cNvSpPr/>
      </xdr:nvSpPr>
      <xdr:spPr bwMode="auto">
        <a:xfrm>
          <a:off x="8324850" y="9491663"/>
          <a:ext cx="13335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118</xdr:row>
      <xdr:rowOff>28575</xdr:rowOff>
    </xdr:from>
    <xdr:ext cx="152400" cy="214312"/>
    <xdr:sp macro="" textlink="">
      <xdr:nvSpPr>
        <xdr:cNvPr id="341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55010000}"/>
            </a:ext>
          </a:extLst>
        </xdr:cNvPr>
        <xdr:cNvSpPr/>
      </xdr:nvSpPr>
      <xdr:spPr bwMode="auto">
        <a:xfrm>
          <a:off x="8324850" y="9267825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122</xdr:row>
      <xdr:rowOff>0</xdr:rowOff>
    </xdr:from>
    <xdr:ext cx="152400" cy="216429"/>
    <xdr:sp macro="" textlink="">
      <xdr:nvSpPr>
        <xdr:cNvPr id="342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56010000}"/>
            </a:ext>
          </a:extLst>
        </xdr:cNvPr>
        <xdr:cNvSpPr/>
      </xdr:nvSpPr>
      <xdr:spPr bwMode="auto">
        <a:xfrm>
          <a:off x="1964531" y="9929813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123</xdr:row>
      <xdr:rowOff>9525</xdr:rowOff>
    </xdr:from>
    <xdr:ext cx="152400" cy="214313"/>
    <xdr:sp macro="" textlink="">
      <xdr:nvSpPr>
        <xdr:cNvPr id="343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57010000}"/>
            </a:ext>
          </a:extLst>
        </xdr:cNvPr>
        <xdr:cNvSpPr/>
      </xdr:nvSpPr>
      <xdr:spPr bwMode="auto">
        <a:xfrm>
          <a:off x="1964531" y="101536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124</xdr:row>
      <xdr:rowOff>19050</xdr:rowOff>
    </xdr:from>
    <xdr:ext cx="152400" cy="214313"/>
    <xdr:sp macro="" textlink="">
      <xdr:nvSpPr>
        <xdr:cNvPr id="344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58010000}"/>
            </a:ext>
          </a:extLst>
        </xdr:cNvPr>
        <xdr:cNvSpPr/>
      </xdr:nvSpPr>
      <xdr:spPr bwMode="auto">
        <a:xfrm>
          <a:off x="1964531" y="10377488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122</xdr:row>
      <xdr:rowOff>0</xdr:rowOff>
    </xdr:from>
    <xdr:ext cx="152400" cy="216429"/>
    <xdr:sp macro="" textlink="">
      <xdr:nvSpPr>
        <xdr:cNvPr id="345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59010000}"/>
            </a:ext>
          </a:extLst>
        </xdr:cNvPr>
        <xdr:cNvSpPr/>
      </xdr:nvSpPr>
      <xdr:spPr bwMode="auto">
        <a:xfrm>
          <a:off x="4572000" y="9929813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123</xdr:row>
      <xdr:rowOff>9525</xdr:rowOff>
    </xdr:from>
    <xdr:ext cx="152400" cy="214313"/>
    <xdr:sp macro="" textlink="">
      <xdr:nvSpPr>
        <xdr:cNvPr id="346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5A010000}"/>
            </a:ext>
          </a:extLst>
        </xdr:cNvPr>
        <xdr:cNvSpPr/>
      </xdr:nvSpPr>
      <xdr:spPr bwMode="auto">
        <a:xfrm>
          <a:off x="4572000" y="101536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124</xdr:row>
      <xdr:rowOff>19050</xdr:rowOff>
    </xdr:from>
    <xdr:ext cx="152400" cy="214313"/>
    <xdr:sp macro="" textlink="">
      <xdr:nvSpPr>
        <xdr:cNvPr id="347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5B010000}"/>
            </a:ext>
          </a:extLst>
        </xdr:cNvPr>
        <xdr:cNvSpPr/>
      </xdr:nvSpPr>
      <xdr:spPr bwMode="auto">
        <a:xfrm>
          <a:off x="4572000" y="10377488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122</xdr:row>
      <xdr:rowOff>0</xdr:rowOff>
    </xdr:from>
    <xdr:ext cx="152400" cy="216429"/>
    <xdr:sp macro="" textlink="">
      <xdr:nvSpPr>
        <xdr:cNvPr id="348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5C010000}"/>
            </a:ext>
          </a:extLst>
        </xdr:cNvPr>
        <xdr:cNvSpPr/>
      </xdr:nvSpPr>
      <xdr:spPr bwMode="auto">
        <a:xfrm>
          <a:off x="7143750" y="9929813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123</xdr:row>
      <xdr:rowOff>9525</xdr:rowOff>
    </xdr:from>
    <xdr:ext cx="152400" cy="214313"/>
    <xdr:sp macro="" textlink="">
      <xdr:nvSpPr>
        <xdr:cNvPr id="349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5D010000}"/>
            </a:ext>
          </a:extLst>
        </xdr:cNvPr>
        <xdr:cNvSpPr/>
      </xdr:nvSpPr>
      <xdr:spPr bwMode="auto">
        <a:xfrm>
          <a:off x="7143750" y="10153650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124</xdr:row>
      <xdr:rowOff>19050</xdr:rowOff>
    </xdr:from>
    <xdr:ext cx="152400" cy="214313"/>
    <xdr:sp macro="" textlink="">
      <xdr:nvSpPr>
        <xdr:cNvPr id="350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5E010000}"/>
            </a:ext>
          </a:extLst>
        </xdr:cNvPr>
        <xdr:cNvSpPr/>
      </xdr:nvSpPr>
      <xdr:spPr bwMode="auto">
        <a:xfrm>
          <a:off x="7143750" y="10377488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155</xdr:row>
      <xdr:rowOff>9525</xdr:rowOff>
    </xdr:from>
    <xdr:ext cx="304800" cy="204788"/>
    <xdr:sp macro="" textlink="">
      <xdr:nvSpPr>
        <xdr:cNvPr id="351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5F010000}"/>
            </a:ext>
          </a:extLst>
        </xdr:cNvPr>
        <xdr:cNvSpPr/>
      </xdr:nvSpPr>
      <xdr:spPr bwMode="auto">
        <a:xfrm>
          <a:off x="1964531" y="13951744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155</xdr:row>
      <xdr:rowOff>9525</xdr:rowOff>
    </xdr:from>
    <xdr:ext cx="302419" cy="204788"/>
    <xdr:sp macro="" textlink="">
      <xdr:nvSpPr>
        <xdr:cNvPr id="352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60010000}"/>
            </a:ext>
          </a:extLst>
        </xdr:cNvPr>
        <xdr:cNvSpPr/>
      </xdr:nvSpPr>
      <xdr:spPr bwMode="auto">
        <a:xfrm>
          <a:off x="2288381" y="13951744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155</xdr:row>
      <xdr:rowOff>0</xdr:rowOff>
    </xdr:from>
    <xdr:ext cx="304800" cy="200025"/>
    <xdr:sp macro="" textlink="">
      <xdr:nvSpPr>
        <xdr:cNvPr id="353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61010000}"/>
            </a:ext>
          </a:extLst>
        </xdr:cNvPr>
        <xdr:cNvSpPr/>
      </xdr:nvSpPr>
      <xdr:spPr bwMode="auto">
        <a:xfrm>
          <a:off x="4581525" y="13942219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155</xdr:row>
      <xdr:rowOff>0</xdr:rowOff>
    </xdr:from>
    <xdr:ext cx="302418" cy="200025"/>
    <xdr:sp macro="" textlink="">
      <xdr:nvSpPr>
        <xdr:cNvPr id="354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62010000}"/>
            </a:ext>
          </a:extLst>
        </xdr:cNvPr>
        <xdr:cNvSpPr/>
      </xdr:nvSpPr>
      <xdr:spPr bwMode="auto">
        <a:xfrm>
          <a:off x="4905375" y="13942219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155</xdr:row>
      <xdr:rowOff>0</xdr:rowOff>
    </xdr:from>
    <xdr:ext cx="304800" cy="200025"/>
    <xdr:sp macro="" textlink="">
      <xdr:nvSpPr>
        <xdr:cNvPr id="355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63010000}"/>
            </a:ext>
          </a:extLst>
        </xdr:cNvPr>
        <xdr:cNvSpPr/>
      </xdr:nvSpPr>
      <xdr:spPr bwMode="auto">
        <a:xfrm>
          <a:off x="7143750" y="13942219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155</xdr:row>
      <xdr:rowOff>0</xdr:rowOff>
    </xdr:from>
    <xdr:ext cx="302419" cy="200025"/>
    <xdr:sp macro="" textlink="">
      <xdr:nvSpPr>
        <xdr:cNvPr id="356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64010000}"/>
            </a:ext>
          </a:extLst>
        </xdr:cNvPr>
        <xdr:cNvSpPr/>
      </xdr:nvSpPr>
      <xdr:spPr bwMode="auto">
        <a:xfrm>
          <a:off x="7467600" y="13942219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157</xdr:row>
      <xdr:rowOff>9525</xdr:rowOff>
    </xdr:from>
    <xdr:ext cx="304800" cy="204788"/>
    <xdr:sp macro="" textlink="">
      <xdr:nvSpPr>
        <xdr:cNvPr id="357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65010000}"/>
            </a:ext>
          </a:extLst>
        </xdr:cNvPr>
        <xdr:cNvSpPr/>
      </xdr:nvSpPr>
      <xdr:spPr bwMode="auto">
        <a:xfrm>
          <a:off x="1964531" y="14213681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157</xdr:row>
      <xdr:rowOff>9525</xdr:rowOff>
    </xdr:from>
    <xdr:ext cx="302419" cy="204788"/>
    <xdr:sp macro="" textlink="">
      <xdr:nvSpPr>
        <xdr:cNvPr id="358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66010000}"/>
            </a:ext>
          </a:extLst>
        </xdr:cNvPr>
        <xdr:cNvSpPr/>
      </xdr:nvSpPr>
      <xdr:spPr bwMode="auto">
        <a:xfrm>
          <a:off x="2288381" y="14213681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157</xdr:row>
      <xdr:rowOff>0</xdr:rowOff>
    </xdr:from>
    <xdr:ext cx="304800" cy="200025"/>
    <xdr:sp macro="" textlink="">
      <xdr:nvSpPr>
        <xdr:cNvPr id="359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67010000}"/>
            </a:ext>
          </a:extLst>
        </xdr:cNvPr>
        <xdr:cNvSpPr/>
      </xdr:nvSpPr>
      <xdr:spPr bwMode="auto">
        <a:xfrm>
          <a:off x="4581525" y="14204156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157</xdr:row>
      <xdr:rowOff>0</xdr:rowOff>
    </xdr:from>
    <xdr:ext cx="302418" cy="200025"/>
    <xdr:sp macro="" textlink="">
      <xdr:nvSpPr>
        <xdr:cNvPr id="360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68010000}"/>
            </a:ext>
          </a:extLst>
        </xdr:cNvPr>
        <xdr:cNvSpPr/>
      </xdr:nvSpPr>
      <xdr:spPr bwMode="auto">
        <a:xfrm>
          <a:off x="4905375" y="14204156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157</xdr:row>
      <xdr:rowOff>0</xdr:rowOff>
    </xdr:from>
    <xdr:ext cx="304800" cy="200025"/>
    <xdr:sp macro="" textlink="">
      <xdr:nvSpPr>
        <xdr:cNvPr id="361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69010000}"/>
            </a:ext>
          </a:extLst>
        </xdr:cNvPr>
        <xdr:cNvSpPr/>
      </xdr:nvSpPr>
      <xdr:spPr bwMode="auto">
        <a:xfrm>
          <a:off x="7143750" y="14204156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157</xdr:row>
      <xdr:rowOff>0</xdr:rowOff>
    </xdr:from>
    <xdr:ext cx="302419" cy="200025"/>
    <xdr:sp macro="" textlink="">
      <xdr:nvSpPr>
        <xdr:cNvPr id="362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6A010000}"/>
            </a:ext>
          </a:extLst>
        </xdr:cNvPr>
        <xdr:cNvSpPr/>
      </xdr:nvSpPr>
      <xdr:spPr bwMode="auto">
        <a:xfrm>
          <a:off x="7467600" y="14204156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159</xdr:row>
      <xdr:rowOff>9525</xdr:rowOff>
    </xdr:from>
    <xdr:ext cx="304800" cy="206904"/>
    <xdr:sp macro="" textlink="">
      <xdr:nvSpPr>
        <xdr:cNvPr id="363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6B010000}"/>
            </a:ext>
          </a:extLst>
        </xdr:cNvPr>
        <xdr:cNvSpPr/>
      </xdr:nvSpPr>
      <xdr:spPr bwMode="auto">
        <a:xfrm>
          <a:off x="1964531" y="14642306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159</xdr:row>
      <xdr:rowOff>9525</xdr:rowOff>
    </xdr:from>
    <xdr:ext cx="302419" cy="206904"/>
    <xdr:sp macro="" textlink="">
      <xdr:nvSpPr>
        <xdr:cNvPr id="364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6C010000}"/>
            </a:ext>
          </a:extLst>
        </xdr:cNvPr>
        <xdr:cNvSpPr/>
      </xdr:nvSpPr>
      <xdr:spPr bwMode="auto">
        <a:xfrm>
          <a:off x="2288381" y="14642306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159</xdr:row>
      <xdr:rowOff>9525</xdr:rowOff>
    </xdr:from>
    <xdr:ext cx="304800" cy="206904"/>
    <xdr:sp macro="" textlink="">
      <xdr:nvSpPr>
        <xdr:cNvPr id="365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6D010000}"/>
            </a:ext>
          </a:extLst>
        </xdr:cNvPr>
        <xdr:cNvSpPr/>
      </xdr:nvSpPr>
      <xdr:spPr bwMode="auto">
        <a:xfrm>
          <a:off x="4572000" y="14642306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159</xdr:row>
      <xdr:rowOff>9525</xdr:rowOff>
    </xdr:from>
    <xdr:ext cx="302418" cy="206904"/>
    <xdr:sp macro="" textlink="">
      <xdr:nvSpPr>
        <xdr:cNvPr id="366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6E010000}"/>
            </a:ext>
          </a:extLst>
        </xdr:cNvPr>
        <xdr:cNvSpPr/>
      </xdr:nvSpPr>
      <xdr:spPr bwMode="auto">
        <a:xfrm>
          <a:off x="4895850" y="14642306"/>
          <a:ext cx="302418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159</xdr:row>
      <xdr:rowOff>9525</xdr:rowOff>
    </xdr:from>
    <xdr:ext cx="304800" cy="206904"/>
    <xdr:sp macro="" textlink="">
      <xdr:nvSpPr>
        <xdr:cNvPr id="367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6F010000}"/>
            </a:ext>
          </a:extLst>
        </xdr:cNvPr>
        <xdr:cNvSpPr/>
      </xdr:nvSpPr>
      <xdr:spPr bwMode="auto">
        <a:xfrm>
          <a:off x="7143750" y="14642306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159</xdr:row>
      <xdr:rowOff>9525</xdr:rowOff>
    </xdr:from>
    <xdr:ext cx="302419" cy="206904"/>
    <xdr:sp macro="" textlink="">
      <xdr:nvSpPr>
        <xdr:cNvPr id="368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70010000}"/>
            </a:ext>
          </a:extLst>
        </xdr:cNvPr>
        <xdr:cNvSpPr/>
      </xdr:nvSpPr>
      <xdr:spPr bwMode="auto">
        <a:xfrm>
          <a:off x="7467600" y="14642306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148</xdr:row>
      <xdr:rowOff>0</xdr:rowOff>
    </xdr:from>
    <xdr:ext cx="304800" cy="196851"/>
    <xdr:sp macro="" textlink="">
      <xdr:nvSpPr>
        <xdr:cNvPr id="369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71010000}"/>
            </a:ext>
          </a:extLst>
        </xdr:cNvPr>
        <xdr:cNvSpPr/>
      </xdr:nvSpPr>
      <xdr:spPr bwMode="auto">
        <a:xfrm>
          <a:off x="1964531" y="13108781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148</xdr:row>
      <xdr:rowOff>0</xdr:rowOff>
    </xdr:from>
    <xdr:ext cx="302419" cy="196851"/>
    <xdr:sp macro="" textlink="">
      <xdr:nvSpPr>
        <xdr:cNvPr id="370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72010000}"/>
            </a:ext>
          </a:extLst>
        </xdr:cNvPr>
        <xdr:cNvSpPr/>
      </xdr:nvSpPr>
      <xdr:spPr bwMode="auto">
        <a:xfrm>
          <a:off x="2288381" y="13108781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148</xdr:row>
      <xdr:rowOff>0</xdr:rowOff>
    </xdr:from>
    <xdr:ext cx="304800" cy="196850"/>
    <xdr:sp macro="" textlink="">
      <xdr:nvSpPr>
        <xdr:cNvPr id="371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73010000}"/>
            </a:ext>
          </a:extLst>
        </xdr:cNvPr>
        <xdr:cNvSpPr/>
      </xdr:nvSpPr>
      <xdr:spPr bwMode="auto">
        <a:xfrm>
          <a:off x="1964531" y="13108781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148</xdr:row>
      <xdr:rowOff>0</xdr:rowOff>
    </xdr:from>
    <xdr:ext cx="302419" cy="196850"/>
    <xdr:sp macro="" textlink="">
      <xdr:nvSpPr>
        <xdr:cNvPr id="372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74010000}"/>
            </a:ext>
          </a:extLst>
        </xdr:cNvPr>
        <xdr:cNvSpPr/>
      </xdr:nvSpPr>
      <xdr:spPr bwMode="auto">
        <a:xfrm>
          <a:off x="2288381" y="13108781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148</xdr:row>
      <xdr:rowOff>0</xdr:rowOff>
    </xdr:from>
    <xdr:ext cx="304800" cy="196851"/>
    <xdr:sp macro="" textlink="">
      <xdr:nvSpPr>
        <xdr:cNvPr id="373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75010000}"/>
            </a:ext>
          </a:extLst>
        </xdr:cNvPr>
        <xdr:cNvSpPr/>
      </xdr:nvSpPr>
      <xdr:spPr bwMode="auto">
        <a:xfrm>
          <a:off x="4572000" y="13108781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148</xdr:row>
      <xdr:rowOff>0</xdr:rowOff>
    </xdr:from>
    <xdr:ext cx="302418" cy="196851"/>
    <xdr:sp macro="" textlink="">
      <xdr:nvSpPr>
        <xdr:cNvPr id="374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76010000}"/>
            </a:ext>
          </a:extLst>
        </xdr:cNvPr>
        <xdr:cNvSpPr/>
      </xdr:nvSpPr>
      <xdr:spPr bwMode="auto">
        <a:xfrm>
          <a:off x="4895850" y="13108781"/>
          <a:ext cx="302418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148</xdr:row>
      <xdr:rowOff>0</xdr:rowOff>
    </xdr:from>
    <xdr:ext cx="304800" cy="196851"/>
    <xdr:sp macro="" textlink="">
      <xdr:nvSpPr>
        <xdr:cNvPr id="375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77010000}"/>
            </a:ext>
          </a:extLst>
        </xdr:cNvPr>
        <xdr:cNvSpPr/>
      </xdr:nvSpPr>
      <xdr:spPr bwMode="auto">
        <a:xfrm>
          <a:off x="7143750" y="13108781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148</xdr:row>
      <xdr:rowOff>0</xdr:rowOff>
    </xdr:from>
    <xdr:ext cx="302419" cy="196851"/>
    <xdr:sp macro="" textlink="">
      <xdr:nvSpPr>
        <xdr:cNvPr id="376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78010000}"/>
            </a:ext>
          </a:extLst>
        </xdr:cNvPr>
        <xdr:cNvSpPr/>
      </xdr:nvSpPr>
      <xdr:spPr bwMode="auto">
        <a:xfrm>
          <a:off x="7467600" y="13108781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148</xdr:row>
      <xdr:rowOff>0</xdr:rowOff>
    </xdr:from>
    <xdr:ext cx="304800" cy="196850"/>
    <xdr:sp macro="" textlink="">
      <xdr:nvSpPr>
        <xdr:cNvPr id="377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79010000}"/>
            </a:ext>
          </a:extLst>
        </xdr:cNvPr>
        <xdr:cNvSpPr/>
      </xdr:nvSpPr>
      <xdr:spPr bwMode="auto">
        <a:xfrm>
          <a:off x="4572000" y="13108781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148</xdr:row>
      <xdr:rowOff>0</xdr:rowOff>
    </xdr:from>
    <xdr:ext cx="302418" cy="196850"/>
    <xdr:sp macro="" textlink="">
      <xdr:nvSpPr>
        <xdr:cNvPr id="378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7A010000}"/>
            </a:ext>
          </a:extLst>
        </xdr:cNvPr>
        <xdr:cNvSpPr/>
      </xdr:nvSpPr>
      <xdr:spPr bwMode="auto">
        <a:xfrm>
          <a:off x="4895850" y="13108781"/>
          <a:ext cx="302418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148</xdr:row>
      <xdr:rowOff>0</xdr:rowOff>
    </xdr:from>
    <xdr:ext cx="304800" cy="196850"/>
    <xdr:sp macro="" textlink="">
      <xdr:nvSpPr>
        <xdr:cNvPr id="379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7B010000}"/>
            </a:ext>
          </a:extLst>
        </xdr:cNvPr>
        <xdr:cNvSpPr/>
      </xdr:nvSpPr>
      <xdr:spPr bwMode="auto">
        <a:xfrm>
          <a:off x="7143750" y="13108781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148</xdr:row>
      <xdr:rowOff>0</xdr:rowOff>
    </xdr:from>
    <xdr:ext cx="302419" cy="196850"/>
    <xdr:sp macro="" textlink="">
      <xdr:nvSpPr>
        <xdr:cNvPr id="380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7C010000}"/>
            </a:ext>
          </a:extLst>
        </xdr:cNvPr>
        <xdr:cNvSpPr/>
      </xdr:nvSpPr>
      <xdr:spPr bwMode="auto">
        <a:xfrm>
          <a:off x="7467600" y="13108781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161</xdr:row>
      <xdr:rowOff>0</xdr:rowOff>
    </xdr:from>
    <xdr:ext cx="152400" cy="214312"/>
    <xdr:sp macro="" textlink="">
      <xdr:nvSpPr>
        <xdr:cNvPr id="381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7D010000}"/>
            </a:ext>
          </a:extLst>
        </xdr:cNvPr>
        <xdr:cNvSpPr/>
      </xdr:nvSpPr>
      <xdr:spPr bwMode="auto">
        <a:xfrm>
          <a:off x="1964531" y="148947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162</xdr:row>
      <xdr:rowOff>9525</xdr:rowOff>
    </xdr:from>
    <xdr:ext cx="152400" cy="214312"/>
    <xdr:sp macro="" textlink="">
      <xdr:nvSpPr>
        <xdr:cNvPr id="382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7E010000}"/>
            </a:ext>
          </a:extLst>
        </xdr:cNvPr>
        <xdr:cNvSpPr/>
      </xdr:nvSpPr>
      <xdr:spPr bwMode="auto">
        <a:xfrm>
          <a:off x="1964531" y="151185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163</xdr:row>
      <xdr:rowOff>19050</xdr:rowOff>
    </xdr:from>
    <xdr:ext cx="152400" cy="214313"/>
    <xdr:sp macro="" textlink="">
      <xdr:nvSpPr>
        <xdr:cNvPr id="383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7F010000}"/>
            </a:ext>
          </a:extLst>
        </xdr:cNvPr>
        <xdr:cNvSpPr/>
      </xdr:nvSpPr>
      <xdr:spPr bwMode="auto">
        <a:xfrm>
          <a:off x="1964531" y="15342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162</xdr:row>
      <xdr:rowOff>38100</xdr:rowOff>
    </xdr:from>
    <xdr:ext cx="152400" cy="214312"/>
    <xdr:sp macro="" textlink="">
      <xdr:nvSpPr>
        <xdr:cNvPr id="384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80010000}"/>
            </a:ext>
          </a:extLst>
        </xdr:cNvPr>
        <xdr:cNvSpPr/>
      </xdr:nvSpPr>
      <xdr:spPr bwMode="auto">
        <a:xfrm>
          <a:off x="3133725" y="151471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161</xdr:row>
      <xdr:rowOff>28575</xdr:rowOff>
    </xdr:from>
    <xdr:ext cx="152400" cy="214312"/>
    <xdr:sp macro="" textlink="">
      <xdr:nvSpPr>
        <xdr:cNvPr id="385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81010000}"/>
            </a:ext>
          </a:extLst>
        </xdr:cNvPr>
        <xdr:cNvSpPr/>
      </xdr:nvSpPr>
      <xdr:spPr bwMode="auto">
        <a:xfrm>
          <a:off x="3133725" y="14923294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161</xdr:row>
      <xdr:rowOff>0</xdr:rowOff>
    </xdr:from>
    <xdr:ext cx="152400" cy="214312"/>
    <xdr:sp macro="" textlink="">
      <xdr:nvSpPr>
        <xdr:cNvPr id="386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82010000}"/>
            </a:ext>
          </a:extLst>
        </xdr:cNvPr>
        <xdr:cNvSpPr/>
      </xdr:nvSpPr>
      <xdr:spPr bwMode="auto">
        <a:xfrm>
          <a:off x="4572000" y="148947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162</xdr:row>
      <xdr:rowOff>19050</xdr:rowOff>
    </xdr:from>
    <xdr:ext cx="152400" cy="214312"/>
    <xdr:sp macro="" textlink="">
      <xdr:nvSpPr>
        <xdr:cNvPr id="387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83010000}"/>
            </a:ext>
          </a:extLst>
        </xdr:cNvPr>
        <xdr:cNvSpPr/>
      </xdr:nvSpPr>
      <xdr:spPr bwMode="auto">
        <a:xfrm>
          <a:off x="4572000" y="1512808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163</xdr:row>
      <xdr:rowOff>28575</xdr:rowOff>
    </xdr:from>
    <xdr:ext cx="152400" cy="214313"/>
    <xdr:sp macro="" textlink="">
      <xdr:nvSpPr>
        <xdr:cNvPr id="388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84010000}"/>
            </a:ext>
          </a:extLst>
        </xdr:cNvPr>
        <xdr:cNvSpPr/>
      </xdr:nvSpPr>
      <xdr:spPr bwMode="auto">
        <a:xfrm>
          <a:off x="4572000" y="15351919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162</xdr:row>
      <xdr:rowOff>38100</xdr:rowOff>
    </xdr:from>
    <xdr:ext cx="152400" cy="214312"/>
    <xdr:sp macro="" textlink="">
      <xdr:nvSpPr>
        <xdr:cNvPr id="389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85010000}"/>
            </a:ext>
          </a:extLst>
        </xdr:cNvPr>
        <xdr:cNvSpPr/>
      </xdr:nvSpPr>
      <xdr:spPr bwMode="auto">
        <a:xfrm>
          <a:off x="5693569" y="151471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161</xdr:row>
      <xdr:rowOff>28575</xdr:rowOff>
    </xdr:from>
    <xdr:ext cx="152400" cy="214312"/>
    <xdr:sp macro="" textlink="">
      <xdr:nvSpPr>
        <xdr:cNvPr id="390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86010000}"/>
            </a:ext>
          </a:extLst>
        </xdr:cNvPr>
        <xdr:cNvSpPr/>
      </xdr:nvSpPr>
      <xdr:spPr bwMode="auto">
        <a:xfrm>
          <a:off x="5693569" y="14923294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161</xdr:row>
      <xdr:rowOff>0</xdr:rowOff>
    </xdr:from>
    <xdr:ext cx="152400" cy="214312"/>
    <xdr:sp macro="" textlink="">
      <xdr:nvSpPr>
        <xdr:cNvPr id="391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87010000}"/>
            </a:ext>
          </a:extLst>
        </xdr:cNvPr>
        <xdr:cNvSpPr/>
      </xdr:nvSpPr>
      <xdr:spPr bwMode="auto">
        <a:xfrm>
          <a:off x="7143750" y="148947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162</xdr:row>
      <xdr:rowOff>19050</xdr:rowOff>
    </xdr:from>
    <xdr:ext cx="152400" cy="214312"/>
    <xdr:sp macro="" textlink="">
      <xdr:nvSpPr>
        <xdr:cNvPr id="392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88010000}"/>
            </a:ext>
          </a:extLst>
        </xdr:cNvPr>
        <xdr:cNvSpPr/>
      </xdr:nvSpPr>
      <xdr:spPr bwMode="auto">
        <a:xfrm>
          <a:off x="7143750" y="1512808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163</xdr:row>
      <xdr:rowOff>28575</xdr:rowOff>
    </xdr:from>
    <xdr:ext cx="152400" cy="214313"/>
    <xdr:sp macro="" textlink="">
      <xdr:nvSpPr>
        <xdr:cNvPr id="393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89010000}"/>
            </a:ext>
          </a:extLst>
        </xdr:cNvPr>
        <xdr:cNvSpPr/>
      </xdr:nvSpPr>
      <xdr:spPr bwMode="auto">
        <a:xfrm>
          <a:off x="7143750" y="15351919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162</xdr:row>
      <xdr:rowOff>38100</xdr:rowOff>
    </xdr:from>
    <xdr:ext cx="133350" cy="214312"/>
    <xdr:sp macro="" textlink="">
      <xdr:nvSpPr>
        <xdr:cNvPr id="394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8A010000}"/>
            </a:ext>
          </a:extLst>
        </xdr:cNvPr>
        <xdr:cNvSpPr/>
      </xdr:nvSpPr>
      <xdr:spPr bwMode="auto">
        <a:xfrm>
          <a:off x="8324850" y="15147131"/>
          <a:ext cx="13335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161</xdr:row>
      <xdr:rowOff>28575</xdr:rowOff>
    </xdr:from>
    <xdr:ext cx="152400" cy="214312"/>
    <xdr:sp macro="" textlink="">
      <xdr:nvSpPr>
        <xdr:cNvPr id="395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8B010000}"/>
            </a:ext>
          </a:extLst>
        </xdr:cNvPr>
        <xdr:cNvSpPr/>
      </xdr:nvSpPr>
      <xdr:spPr bwMode="auto">
        <a:xfrm>
          <a:off x="8324850" y="14923294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165</xdr:row>
      <xdr:rowOff>0</xdr:rowOff>
    </xdr:from>
    <xdr:ext cx="152400" cy="216429"/>
    <xdr:sp macro="" textlink="">
      <xdr:nvSpPr>
        <xdr:cNvPr id="396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8C010000}"/>
            </a:ext>
          </a:extLst>
        </xdr:cNvPr>
        <xdr:cNvSpPr/>
      </xdr:nvSpPr>
      <xdr:spPr bwMode="auto">
        <a:xfrm>
          <a:off x="1964531" y="15585281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166</xdr:row>
      <xdr:rowOff>9525</xdr:rowOff>
    </xdr:from>
    <xdr:ext cx="152400" cy="214313"/>
    <xdr:sp macro="" textlink="">
      <xdr:nvSpPr>
        <xdr:cNvPr id="397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8D010000}"/>
            </a:ext>
          </a:extLst>
        </xdr:cNvPr>
        <xdr:cNvSpPr/>
      </xdr:nvSpPr>
      <xdr:spPr bwMode="auto">
        <a:xfrm>
          <a:off x="1964531" y="15809119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167</xdr:row>
      <xdr:rowOff>19050</xdr:rowOff>
    </xdr:from>
    <xdr:ext cx="152400" cy="214313"/>
    <xdr:sp macro="" textlink="">
      <xdr:nvSpPr>
        <xdr:cNvPr id="398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8E010000}"/>
            </a:ext>
          </a:extLst>
        </xdr:cNvPr>
        <xdr:cNvSpPr/>
      </xdr:nvSpPr>
      <xdr:spPr bwMode="auto">
        <a:xfrm>
          <a:off x="1964531" y="15949613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165</xdr:row>
      <xdr:rowOff>0</xdr:rowOff>
    </xdr:from>
    <xdr:ext cx="152400" cy="216429"/>
    <xdr:sp macro="" textlink="">
      <xdr:nvSpPr>
        <xdr:cNvPr id="399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8F010000}"/>
            </a:ext>
          </a:extLst>
        </xdr:cNvPr>
        <xdr:cNvSpPr/>
      </xdr:nvSpPr>
      <xdr:spPr bwMode="auto">
        <a:xfrm>
          <a:off x="4572000" y="15585281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166</xdr:row>
      <xdr:rowOff>9525</xdr:rowOff>
    </xdr:from>
    <xdr:ext cx="152400" cy="214313"/>
    <xdr:sp macro="" textlink="">
      <xdr:nvSpPr>
        <xdr:cNvPr id="400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90010000}"/>
            </a:ext>
          </a:extLst>
        </xdr:cNvPr>
        <xdr:cNvSpPr/>
      </xdr:nvSpPr>
      <xdr:spPr bwMode="auto">
        <a:xfrm>
          <a:off x="4572000" y="15809119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167</xdr:row>
      <xdr:rowOff>19050</xdr:rowOff>
    </xdr:from>
    <xdr:ext cx="152400" cy="214313"/>
    <xdr:sp macro="" textlink="">
      <xdr:nvSpPr>
        <xdr:cNvPr id="401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91010000}"/>
            </a:ext>
          </a:extLst>
        </xdr:cNvPr>
        <xdr:cNvSpPr/>
      </xdr:nvSpPr>
      <xdr:spPr bwMode="auto">
        <a:xfrm>
          <a:off x="4572000" y="15949613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165</xdr:row>
      <xdr:rowOff>0</xdr:rowOff>
    </xdr:from>
    <xdr:ext cx="152400" cy="216429"/>
    <xdr:sp macro="" textlink="">
      <xdr:nvSpPr>
        <xdr:cNvPr id="402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92010000}"/>
            </a:ext>
          </a:extLst>
        </xdr:cNvPr>
        <xdr:cNvSpPr/>
      </xdr:nvSpPr>
      <xdr:spPr bwMode="auto">
        <a:xfrm>
          <a:off x="7143750" y="15585281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166</xdr:row>
      <xdr:rowOff>9525</xdr:rowOff>
    </xdr:from>
    <xdr:ext cx="152400" cy="214313"/>
    <xdr:sp macro="" textlink="">
      <xdr:nvSpPr>
        <xdr:cNvPr id="403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93010000}"/>
            </a:ext>
          </a:extLst>
        </xdr:cNvPr>
        <xdr:cNvSpPr/>
      </xdr:nvSpPr>
      <xdr:spPr bwMode="auto">
        <a:xfrm>
          <a:off x="7143750" y="15809119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167</xdr:row>
      <xdr:rowOff>19050</xdr:rowOff>
    </xdr:from>
    <xdr:ext cx="152400" cy="214313"/>
    <xdr:sp macro="" textlink="">
      <xdr:nvSpPr>
        <xdr:cNvPr id="404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94010000}"/>
            </a:ext>
          </a:extLst>
        </xdr:cNvPr>
        <xdr:cNvSpPr/>
      </xdr:nvSpPr>
      <xdr:spPr bwMode="auto">
        <a:xfrm>
          <a:off x="7143750" y="15949613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151</xdr:row>
      <xdr:rowOff>9525</xdr:rowOff>
    </xdr:from>
    <xdr:ext cx="304800" cy="204788"/>
    <xdr:sp macro="" textlink="">
      <xdr:nvSpPr>
        <xdr:cNvPr id="405" name="opt_1tunY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95010000}"/>
            </a:ext>
          </a:extLst>
        </xdr:cNvPr>
        <xdr:cNvSpPr/>
      </xdr:nvSpPr>
      <xdr:spPr bwMode="auto">
        <a:xfrm>
          <a:off x="1964531" y="13427869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151</xdr:row>
      <xdr:rowOff>9525</xdr:rowOff>
    </xdr:from>
    <xdr:ext cx="302419" cy="204788"/>
    <xdr:sp macro="" textlink="">
      <xdr:nvSpPr>
        <xdr:cNvPr id="406" name="opt_1tunN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96010000}"/>
            </a:ext>
          </a:extLst>
        </xdr:cNvPr>
        <xdr:cNvSpPr/>
      </xdr:nvSpPr>
      <xdr:spPr bwMode="auto">
        <a:xfrm>
          <a:off x="2288381" y="13427869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151</xdr:row>
      <xdr:rowOff>0</xdr:rowOff>
    </xdr:from>
    <xdr:ext cx="304800" cy="200025"/>
    <xdr:sp macro="" textlink="">
      <xdr:nvSpPr>
        <xdr:cNvPr id="407" name="opt_2tunY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97010000}"/>
            </a:ext>
          </a:extLst>
        </xdr:cNvPr>
        <xdr:cNvSpPr/>
      </xdr:nvSpPr>
      <xdr:spPr bwMode="auto">
        <a:xfrm>
          <a:off x="4581525" y="13418344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151</xdr:row>
      <xdr:rowOff>0</xdr:rowOff>
    </xdr:from>
    <xdr:ext cx="302418" cy="200025"/>
    <xdr:sp macro="" textlink="">
      <xdr:nvSpPr>
        <xdr:cNvPr id="408" name="opt_2tunN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98010000}"/>
            </a:ext>
          </a:extLst>
        </xdr:cNvPr>
        <xdr:cNvSpPr/>
      </xdr:nvSpPr>
      <xdr:spPr bwMode="auto">
        <a:xfrm>
          <a:off x="4905375" y="13418344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151</xdr:row>
      <xdr:rowOff>0</xdr:rowOff>
    </xdr:from>
    <xdr:ext cx="304800" cy="200025"/>
    <xdr:sp macro="" textlink="">
      <xdr:nvSpPr>
        <xdr:cNvPr id="409" name="opt_3tunY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99010000}"/>
            </a:ext>
          </a:extLst>
        </xdr:cNvPr>
        <xdr:cNvSpPr/>
      </xdr:nvSpPr>
      <xdr:spPr bwMode="auto">
        <a:xfrm>
          <a:off x="7143750" y="13418344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151</xdr:row>
      <xdr:rowOff>0</xdr:rowOff>
    </xdr:from>
    <xdr:ext cx="302419" cy="200025"/>
    <xdr:sp macro="" textlink="">
      <xdr:nvSpPr>
        <xdr:cNvPr id="410" name="opt_3tun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9A010000}"/>
            </a:ext>
          </a:extLst>
        </xdr:cNvPr>
        <xdr:cNvSpPr/>
      </xdr:nvSpPr>
      <xdr:spPr bwMode="auto">
        <a:xfrm>
          <a:off x="7467600" y="13418344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153</xdr:row>
      <xdr:rowOff>9525</xdr:rowOff>
    </xdr:from>
    <xdr:ext cx="304800" cy="204788"/>
    <xdr:sp macro="" textlink="">
      <xdr:nvSpPr>
        <xdr:cNvPr id="411" name="opt_1undY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9B010000}"/>
            </a:ext>
          </a:extLst>
        </xdr:cNvPr>
        <xdr:cNvSpPr/>
      </xdr:nvSpPr>
      <xdr:spPr bwMode="auto">
        <a:xfrm>
          <a:off x="1964531" y="13689806"/>
          <a:ext cx="304800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153</xdr:row>
      <xdr:rowOff>9525</xdr:rowOff>
    </xdr:from>
    <xdr:ext cx="302419" cy="204788"/>
    <xdr:sp macro="" textlink="">
      <xdr:nvSpPr>
        <xdr:cNvPr id="412" name="opt_1undN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9C010000}"/>
            </a:ext>
          </a:extLst>
        </xdr:cNvPr>
        <xdr:cNvSpPr/>
      </xdr:nvSpPr>
      <xdr:spPr bwMode="auto">
        <a:xfrm>
          <a:off x="2288381" y="13689806"/>
          <a:ext cx="302419" cy="20478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9525</xdr:colOff>
      <xdr:row>153</xdr:row>
      <xdr:rowOff>0</xdr:rowOff>
    </xdr:from>
    <xdr:ext cx="304800" cy="200025"/>
    <xdr:sp macro="" textlink="">
      <xdr:nvSpPr>
        <xdr:cNvPr id="413" name="opt_2undY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200-00009D010000}"/>
            </a:ext>
          </a:extLst>
        </xdr:cNvPr>
        <xdr:cNvSpPr/>
      </xdr:nvSpPr>
      <xdr:spPr bwMode="auto">
        <a:xfrm>
          <a:off x="4581525" y="13680281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333375</xdr:colOff>
      <xdr:row>153</xdr:row>
      <xdr:rowOff>0</xdr:rowOff>
    </xdr:from>
    <xdr:ext cx="302418" cy="200025"/>
    <xdr:sp macro="" textlink="">
      <xdr:nvSpPr>
        <xdr:cNvPr id="414" name="opt_2undN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200-00009E010000}"/>
            </a:ext>
          </a:extLst>
        </xdr:cNvPr>
        <xdr:cNvSpPr/>
      </xdr:nvSpPr>
      <xdr:spPr bwMode="auto">
        <a:xfrm>
          <a:off x="4905375" y="13680281"/>
          <a:ext cx="302418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153</xdr:row>
      <xdr:rowOff>0</xdr:rowOff>
    </xdr:from>
    <xdr:ext cx="304800" cy="200025"/>
    <xdr:sp macro="" textlink="">
      <xdr:nvSpPr>
        <xdr:cNvPr id="415" name="opt_3undY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200-00009F010000}"/>
            </a:ext>
          </a:extLst>
        </xdr:cNvPr>
        <xdr:cNvSpPr/>
      </xdr:nvSpPr>
      <xdr:spPr bwMode="auto">
        <a:xfrm>
          <a:off x="7143750" y="13680281"/>
          <a:ext cx="304800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153</xdr:row>
      <xdr:rowOff>0</xdr:rowOff>
    </xdr:from>
    <xdr:ext cx="302419" cy="200025"/>
    <xdr:sp macro="" textlink="">
      <xdr:nvSpPr>
        <xdr:cNvPr id="416" name="opt_3undN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200-0000A0010000}"/>
            </a:ext>
          </a:extLst>
        </xdr:cNvPr>
        <xdr:cNvSpPr/>
      </xdr:nvSpPr>
      <xdr:spPr bwMode="auto">
        <a:xfrm>
          <a:off x="7467600" y="13680281"/>
          <a:ext cx="302419" cy="2000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155</xdr:row>
      <xdr:rowOff>9525</xdr:rowOff>
    </xdr:from>
    <xdr:ext cx="304800" cy="206904"/>
    <xdr:sp macro="" textlink="">
      <xdr:nvSpPr>
        <xdr:cNvPr id="417" name="opt_1debY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200-0000A1010000}"/>
            </a:ext>
          </a:extLst>
        </xdr:cNvPr>
        <xdr:cNvSpPr/>
      </xdr:nvSpPr>
      <xdr:spPr bwMode="auto">
        <a:xfrm>
          <a:off x="1964531" y="13951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155</xdr:row>
      <xdr:rowOff>9525</xdr:rowOff>
    </xdr:from>
    <xdr:ext cx="302419" cy="206904"/>
    <xdr:sp macro="" textlink="">
      <xdr:nvSpPr>
        <xdr:cNvPr id="418" name="opt_1debN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200-0000A2010000}"/>
            </a:ext>
          </a:extLst>
        </xdr:cNvPr>
        <xdr:cNvSpPr/>
      </xdr:nvSpPr>
      <xdr:spPr bwMode="auto">
        <a:xfrm>
          <a:off x="2288381" y="13951744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155</xdr:row>
      <xdr:rowOff>9525</xdr:rowOff>
    </xdr:from>
    <xdr:ext cx="304800" cy="206904"/>
    <xdr:sp macro="" textlink="">
      <xdr:nvSpPr>
        <xdr:cNvPr id="419" name="opt_2debY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A3010000}"/>
            </a:ext>
          </a:extLst>
        </xdr:cNvPr>
        <xdr:cNvSpPr/>
      </xdr:nvSpPr>
      <xdr:spPr bwMode="auto">
        <a:xfrm>
          <a:off x="4572000" y="13951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155</xdr:row>
      <xdr:rowOff>9525</xdr:rowOff>
    </xdr:from>
    <xdr:ext cx="302418" cy="206904"/>
    <xdr:sp macro="" textlink="">
      <xdr:nvSpPr>
        <xdr:cNvPr id="420" name="opt_2debN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A4010000}"/>
            </a:ext>
          </a:extLst>
        </xdr:cNvPr>
        <xdr:cNvSpPr/>
      </xdr:nvSpPr>
      <xdr:spPr bwMode="auto">
        <a:xfrm>
          <a:off x="4895850" y="13951744"/>
          <a:ext cx="302418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155</xdr:row>
      <xdr:rowOff>9525</xdr:rowOff>
    </xdr:from>
    <xdr:ext cx="304800" cy="206904"/>
    <xdr:sp macro="" textlink="">
      <xdr:nvSpPr>
        <xdr:cNvPr id="421" name="opt_3debY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200-0000A5010000}"/>
            </a:ext>
          </a:extLst>
        </xdr:cNvPr>
        <xdr:cNvSpPr/>
      </xdr:nvSpPr>
      <xdr:spPr bwMode="auto">
        <a:xfrm>
          <a:off x="7143750" y="13951744"/>
          <a:ext cx="304800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155</xdr:row>
      <xdr:rowOff>9525</xdr:rowOff>
    </xdr:from>
    <xdr:ext cx="302419" cy="206904"/>
    <xdr:sp macro="" textlink="">
      <xdr:nvSpPr>
        <xdr:cNvPr id="422" name="opt_3debN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A6010000}"/>
            </a:ext>
          </a:extLst>
        </xdr:cNvPr>
        <xdr:cNvSpPr/>
      </xdr:nvSpPr>
      <xdr:spPr bwMode="auto">
        <a:xfrm>
          <a:off x="7467600" y="13951744"/>
          <a:ext cx="302419" cy="20690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138</xdr:row>
      <xdr:rowOff>0</xdr:rowOff>
    </xdr:from>
    <xdr:ext cx="304800" cy="196851"/>
    <xdr:sp macro="" textlink="">
      <xdr:nvSpPr>
        <xdr:cNvPr id="423" name="opt_1inflY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200-0000A7010000}"/>
            </a:ext>
          </a:extLst>
        </xdr:cNvPr>
        <xdr:cNvSpPr/>
      </xdr:nvSpPr>
      <xdr:spPr bwMode="auto">
        <a:xfrm>
          <a:off x="1964531" y="1257300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138</xdr:row>
      <xdr:rowOff>0</xdr:rowOff>
    </xdr:from>
    <xdr:ext cx="302419" cy="196851"/>
    <xdr:sp macro="" textlink="">
      <xdr:nvSpPr>
        <xdr:cNvPr id="424" name="opt_1inflN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200-0000A8010000}"/>
            </a:ext>
          </a:extLst>
        </xdr:cNvPr>
        <xdr:cNvSpPr/>
      </xdr:nvSpPr>
      <xdr:spPr bwMode="auto">
        <a:xfrm>
          <a:off x="2288381" y="12573000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138</xdr:row>
      <xdr:rowOff>0</xdr:rowOff>
    </xdr:from>
    <xdr:ext cx="304800" cy="196850"/>
    <xdr:sp macro="" textlink="">
      <xdr:nvSpPr>
        <xdr:cNvPr id="425" name="opt_1infectY" hidden="1">
          <a:extLst>
            <a:ext uri="{63B3BB69-23CF-44E3-9099-C40C66FF867C}">
              <a14:compatExt xmlns:a14="http://schemas.microsoft.com/office/drawing/2010/main" spid="_x0000_s1048"/>
            </a:ext>
            <a:ext uri="{FF2B5EF4-FFF2-40B4-BE49-F238E27FC236}">
              <a16:creationId xmlns:a16="http://schemas.microsoft.com/office/drawing/2014/main" id="{00000000-0008-0000-0200-0000A9010000}"/>
            </a:ext>
          </a:extLst>
        </xdr:cNvPr>
        <xdr:cNvSpPr/>
      </xdr:nvSpPr>
      <xdr:spPr bwMode="auto">
        <a:xfrm>
          <a:off x="1964531" y="1257300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323850</xdr:colOff>
      <xdr:row>138</xdr:row>
      <xdr:rowOff>0</xdr:rowOff>
    </xdr:from>
    <xdr:ext cx="302419" cy="196850"/>
    <xdr:sp macro="" textlink="">
      <xdr:nvSpPr>
        <xdr:cNvPr id="426" name="opt_1infectN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200-0000AA010000}"/>
            </a:ext>
          </a:extLst>
        </xdr:cNvPr>
        <xdr:cNvSpPr/>
      </xdr:nvSpPr>
      <xdr:spPr bwMode="auto">
        <a:xfrm>
          <a:off x="2288381" y="12573000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138</xdr:row>
      <xdr:rowOff>0</xdr:rowOff>
    </xdr:from>
    <xdr:ext cx="304800" cy="196851"/>
    <xdr:sp macro="" textlink="">
      <xdr:nvSpPr>
        <xdr:cNvPr id="427" name="opt_2inflY" hidden="1">
          <a:extLst>
            <a:ext uri="{63B3BB69-23CF-44E3-9099-C40C66FF867C}">
              <a14:compatExt xmlns:a14="http://schemas.microsoft.com/office/drawing/2010/main" spid="_x0000_s1050"/>
            </a:ext>
            <a:ext uri="{FF2B5EF4-FFF2-40B4-BE49-F238E27FC236}">
              <a16:creationId xmlns:a16="http://schemas.microsoft.com/office/drawing/2014/main" id="{00000000-0008-0000-0200-0000AB010000}"/>
            </a:ext>
          </a:extLst>
        </xdr:cNvPr>
        <xdr:cNvSpPr/>
      </xdr:nvSpPr>
      <xdr:spPr bwMode="auto">
        <a:xfrm>
          <a:off x="4572000" y="1257300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138</xdr:row>
      <xdr:rowOff>0</xdr:rowOff>
    </xdr:from>
    <xdr:ext cx="302418" cy="196851"/>
    <xdr:sp macro="" textlink="">
      <xdr:nvSpPr>
        <xdr:cNvPr id="428" name="opt_2inflN" hidden="1">
          <a:extLst>
            <a:ext uri="{63B3BB69-23CF-44E3-9099-C40C66FF867C}">
              <a14:compatExt xmlns:a14="http://schemas.microsoft.com/office/drawing/2010/main" spid="_x0000_s1051"/>
            </a:ext>
            <a:ext uri="{FF2B5EF4-FFF2-40B4-BE49-F238E27FC236}">
              <a16:creationId xmlns:a16="http://schemas.microsoft.com/office/drawing/2014/main" id="{00000000-0008-0000-0200-0000AC010000}"/>
            </a:ext>
          </a:extLst>
        </xdr:cNvPr>
        <xdr:cNvSpPr/>
      </xdr:nvSpPr>
      <xdr:spPr bwMode="auto">
        <a:xfrm>
          <a:off x="4895850" y="12573000"/>
          <a:ext cx="302418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138</xdr:row>
      <xdr:rowOff>0</xdr:rowOff>
    </xdr:from>
    <xdr:ext cx="304800" cy="196851"/>
    <xdr:sp macro="" textlink="">
      <xdr:nvSpPr>
        <xdr:cNvPr id="429" name="opt_3inflY" hidden="1">
          <a:extLst>
            <a:ext uri="{63B3BB69-23CF-44E3-9099-C40C66FF867C}">
              <a14:compatExt xmlns:a14="http://schemas.microsoft.com/office/drawing/2010/main" spid="_x0000_s1052"/>
            </a:ext>
            <a:ext uri="{FF2B5EF4-FFF2-40B4-BE49-F238E27FC236}">
              <a16:creationId xmlns:a16="http://schemas.microsoft.com/office/drawing/2014/main" id="{00000000-0008-0000-0200-0000AD010000}"/>
            </a:ext>
          </a:extLst>
        </xdr:cNvPr>
        <xdr:cNvSpPr/>
      </xdr:nvSpPr>
      <xdr:spPr bwMode="auto">
        <a:xfrm>
          <a:off x="7143750" y="12573000"/>
          <a:ext cx="304800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138</xdr:row>
      <xdr:rowOff>0</xdr:rowOff>
    </xdr:from>
    <xdr:ext cx="302419" cy="196851"/>
    <xdr:sp macro="" textlink="">
      <xdr:nvSpPr>
        <xdr:cNvPr id="430" name="opt_3inflN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200-0000AE010000}"/>
            </a:ext>
          </a:extLst>
        </xdr:cNvPr>
        <xdr:cNvSpPr/>
      </xdr:nvSpPr>
      <xdr:spPr bwMode="auto">
        <a:xfrm>
          <a:off x="7467600" y="12573000"/>
          <a:ext cx="302419" cy="196851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138</xdr:row>
      <xdr:rowOff>0</xdr:rowOff>
    </xdr:from>
    <xdr:ext cx="304800" cy="196850"/>
    <xdr:sp macro="" textlink="">
      <xdr:nvSpPr>
        <xdr:cNvPr id="431" name="opt_2infectY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200-0000AF010000}"/>
            </a:ext>
          </a:extLst>
        </xdr:cNvPr>
        <xdr:cNvSpPr/>
      </xdr:nvSpPr>
      <xdr:spPr bwMode="auto">
        <a:xfrm>
          <a:off x="4572000" y="1257300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323850</xdr:colOff>
      <xdr:row>138</xdr:row>
      <xdr:rowOff>0</xdr:rowOff>
    </xdr:from>
    <xdr:ext cx="302418" cy="196850"/>
    <xdr:sp macro="" textlink="">
      <xdr:nvSpPr>
        <xdr:cNvPr id="432" name="opt_2infectN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200-0000B0010000}"/>
            </a:ext>
          </a:extLst>
        </xdr:cNvPr>
        <xdr:cNvSpPr/>
      </xdr:nvSpPr>
      <xdr:spPr bwMode="auto">
        <a:xfrm>
          <a:off x="4895850" y="12573000"/>
          <a:ext cx="302418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138</xdr:row>
      <xdr:rowOff>0</xdr:rowOff>
    </xdr:from>
    <xdr:ext cx="304800" cy="196850"/>
    <xdr:sp macro="" textlink="">
      <xdr:nvSpPr>
        <xdr:cNvPr id="433" name="opt_3infectY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200-0000B1010000}"/>
            </a:ext>
          </a:extLst>
        </xdr:cNvPr>
        <xdr:cNvSpPr/>
      </xdr:nvSpPr>
      <xdr:spPr bwMode="auto">
        <a:xfrm>
          <a:off x="7143750" y="12573000"/>
          <a:ext cx="304800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323850</xdr:colOff>
      <xdr:row>138</xdr:row>
      <xdr:rowOff>0</xdr:rowOff>
    </xdr:from>
    <xdr:ext cx="302419" cy="196850"/>
    <xdr:sp macro="" textlink="">
      <xdr:nvSpPr>
        <xdr:cNvPr id="434" name="opt_3infectN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200-0000B2010000}"/>
            </a:ext>
          </a:extLst>
        </xdr:cNvPr>
        <xdr:cNvSpPr/>
      </xdr:nvSpPr>
      <xdr:spPr bwMode="auto">
        <a:xfrm>
          <a:off x="7467600" y="12573000"/>
          <a:ext cx="302419" cy="196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157</xdr:row>
      <xdr:rowOff>0</xdr:rowOff>
    </xdr:from>
    <xdr:ext cx="152400" cy="214312"/>
    <xdr:sp macro="" textlink="">
      <xdr:nvSpPr>
        <xdr:cNvPr id="435" name="chk_1ApSlough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200-0000B3010000}"/>
            </a:ext>
          </a:extLst>
        </xdr:cNvPr>
        <xdr:cNvSpPr/>
      </xdr:nvSpPr>
      <xdr:spPr bwMode="auto">
        <a:xfrm>
          <a:off x="1964531" y="14204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158</xdr:row>
      <xdr:rowOff>9525</xdr:rowOff>
    </xdr:from>
    <xdr:ext cx="152400" cy="214312"/>
    <xdr:sp macro="" textlink="">
      <xdr:nvSpPr>
        <xdr:cNvPr id="436" name="chk_1ApInfect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200-0000B4010000}"/>
            </a:ext>
          </a:extLst>
        </xdr:cNvPr>
        <xdr:cNvSpPr/>
      </xdr:nvSpPr>
      <xdr:spPr bwMode="auto">
        <a:xfrm>
          <a:off x="1964531" y="14427994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159</xdr:row>
      <xdr:rowOff>19050</xdr:rowOff>
    </xdr:from>
    <xdr:ext cx="152400" cy="214313"/>
    <xdr:sp macro="" textlink="">
      <xdr:nvSpPr>
        <xdr:cNvPr id="437" name="chk_1ApGran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B5010000}"/>
            </a:ext>
          </a:extLst>
        </xdr:cNvPr>
        <xdr:cNvSpPr/>
      </xdr:nvSpPr>
      <xdr:spPr bwMode="auto">
        <a:xfrm>
          <a:off x="1964531" y="14651831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158</xdr:row>
      <xdr:rowOff>38100</xdr:rowOff>
    </xdr:from>
    <xdr:ext cx="152400" cy="214312"/>
    <xdr:sp macro="" textlink="">
      <xdr:nvSpPr>
        <xdr:cNvPr id="438" name="chk_1ApEpith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200-0000B6010000}"/>
            </a:ext>
          </a:extLst>
        </xdr:cNvPr>
        <xdr:cNvSpPr/>
      </xdr:nvSpPr>
      <xdr:spPr bwMode="auto">
        <a:xfrm>
          <a:off x="3133725" y="1445656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180975</xdr:colOff>
      <xdr:row>157</xdr:row>
      <xdr:rowOff>28575</xdr:rowOff>
    </xdr:from>
    <xdr:ext cx="152400" cy="214312"/>
    <xdr:sp macro="" textlink="">
      <xdr:nvSpPr>
        <xdr:cNvPr id="439" name="chk_1ApNecr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200-0000B7010000}"/>
            </a:ext>
          </a:extLst>
        </xdr:cNvPr>
        <xdr:cNvSpPr/>
      </xdr:nvSpPr>
      <xdr:spPr bwMode="auto">
        <a:xfrm>
          <a:off x="3133725" y="14232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157</xdr:row>
      <xdr:rowOff>0</xdr:rowOff>
    </xdr:from>
    <xdr:ext cx="152400" cy="214312"/>
    <xdr:sp macro="" textlink="">
      <xdr:nvSpPr>
        <xdr:cNvPr id="440" name="chk_2ApSlough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200-0000B8010000}"/>
            </a:ext>
          </a:extLst>
        </xdr:cNvPr>
        <xdr:cNvSpPr/>
      </xdr:nvSpPr>
      <xdr:spPr bwMode="auto">
        <a:xfrm>
          <a:off x="4572000" y="14204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158</xdr:row>
      <xdr:rowOff>19050</xdr:rowOff>
    </xdr:from>
    <xdr:ext cx="152400" cy="214312"/>
    <xdr:sp macro="" textlink="">
      <xdr:nvSpPr>
        <xdr:cNvPr id="441" name="chk_2ApInfect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200-0000B9010000}"/>
            </a:ext>
          </a:extLst>
        </xdr:cNvPr>
        <xdr:cNvSpPr/>
      </xdr:nvSpPr>
      <xdr:spPr bwMode="auto">
        <a:xfrm>
          <a:off x="4572000" y="144375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159</xdr:row>
      <xdr:rowOff>28575</xdr:rowOff>
    </xdr:from>
    <xdr:ext cx="152400" cy="214313"/>
    <xdr:sp macro="" textlink="">
      <xdr:nvSpPr>
        <xdr:cNvPr id="442" name="chk_2ApGran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200-0000BA010000}"/>
            </a:ext>
          </a:extLst>
        </xdr:cNvPr>
        <xdr:cNvSpPr/>
      </xdr:nvSpPr>
      <xdr:spPr bwMode="auto">
        <a:xfrm>
          <a:off x="4572000" y="146613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158</xdr:row>
      <xdr:rowOff>38100</xdr:rowOff>
    </xdr:from>
    <xdr:ext cx="152400" cy="214312"/>
    <xdr:sp macro="" textlink="">
      <xdr:nvSpPr>
        <xdr:cNvPr id="443" name="chk_2ApEpith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200-0000BB010000}"/>
            </a:ext>
          </a:extLst>
        </xdr:cNvPr>
        <xdr:cNvSpPr/>
      </xdr:nvSpPr>
      <xdr:spPr bwMode="auto">
        <a:xfrm>
          <a:off x="5693569" y="1445656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12</xdr:col>
      <xdr:colOff>180975</xdr:colOff>
      <xdr:row>157</xdr:row>
      <xdr:rowOff>28575</xdr:rowOff>
    </xdr:from>
    <xdr:ext cx="152400" cy="214312"/>
    <xdr:sp macro="" textlink="">
      <xdr:nvSpPr>
        <xdr:cNvPr id="444" name="chk_2ApNecr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200-0000BC010000}"/>
            </a:ext>
          </a:extLst>
        </xdr:cNvPr>
        <xdr:cNvSpPr/>
      </xdr:nvSpPr>
      <xdr:spPr bwMode="auto">
        <a:xfrm>
          <a:off x="5693569" y="14232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157</xdr:row>
      <xdr:rowOff>0</xdr:rowOff>
    </xdr:from>
    <xdr:ext cx="152400" cy="214312"/>
    <xdr:sp macro="" textlink="">
      <xdr:nvSpPr>
        <xdr:cNvPr id="445" name="chk_3ApSlough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200-0000BD010000}"/>
            </a:ext>
          </a:extLst>
        </xdr:cNvPr>
        <xdr:cNvSpPr/>
      </xdr:nvSpPr>
      <xdr:spPr bwMode="auto">
        <a:xfrm>
          <a:off x="7143750" y="14204156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158</xdr:row>
      <xdr:rowOff>19050</xdr:rowOff>
    </xdr:from>
    <xdr:ext cx="152400" cy="214312"/>
    <xdr:sp macro="" textlink="">
      <xdr:nvSpPr>
        <xdr:cNvPr id="446" name="chk_3ApInfect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200-0000BE010000}"/>
            </a:ext>
          </a:extLst>
        </xdr:cNvPr>
        <xdr:cNvSpPr/>
      </xdr:nvSpPr>
      <xdr:spPr bwMode="auto">
        <a:xfrm>
          <a:off x="7143750" y="14437519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159</xdr:row>
      <xdr:rowOff>28575</xdr:rowOff>
    </xdr:from>
    <xdr:ext cx="152400" cy="214313"/>
    <xdr:sp macro="" textlink="">
      <xdr:nvSpPr>
        <xdr:cNvPr id="447" name="chk_3ApGran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200-0000BF010000}"/>
            </a:ext>
          </a:extLst>
        </xdr:cNvPr>
        <xdr:cNvSpPr/>
      </xdr:nvSpPr>
      <xdr:spPr bwMode="auto">
        <a:xfrm>
          <a:off x="7143750" y="146613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158</xdr:row>
      <xdr:rowOff>38100</xdr:rowOff>
    </xdr:from>
    <xdr:ext cx="133350" cy="214312"/>
    <xdr:sp macro="" textlink="">
      <xdr:nvSpPr>
        <xdr:cNvPr id="448" name="chk_3ApEpith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200-0000C0010000}"/>
            </a:ext>
          </a:extLst>
        </xdr:cNvPr>
        <xdr:cNvSpPr/>
      </xdr:nvSpPr>
      <xdr:spPr bwMode="auto">
        <a:xfrm>
          <a:off x="8324850" y="14456569"/>
          <a:ext cx="13335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19</xdr:col>
      <xdr:colOff>180975</xdr:colOff>
      <xdr:row>157</xdr:row>
      <xdr:rowOff>28575</xdr:rowOff>
    </xdr:from>
    <xdr:ext cx="152400" cy="214312"/>
    <xdr:sp macro="" textlink="">
      <xdr:nvSpPr>
        <xdr:cNvPr id="449" name="chk_3ApNecr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200-0000C1010000}"/>
            </a:ext>
          </a:extLst>
        </xdr:cNvPr>
        <xdr:cNvSpPr/>
      </xdr:nvSpPr>
      <xdr:spPr bwMode="auto">
        <a:xfrm>
          <a:off x="8324850" y="14232731"/>
          <a:ext cx="152400" cy="21431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161</xdr:row>
      <xdr:rowOff>0</xdr:rowOff>
    </xdr:from>
    <xdr:ext cx="152400" cy="216429"/>
    <xdr:sp macro="" textlink="">
      <xdr:nvSpPr>
        <xdr:cNvPr id="450" name="chk_1ColRed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200-0000C2010000}"/>
            </a:ext>
          </a:extLst>
        </xdr:cNvPr>
        <xdr:cNvSpPr/>
      </xdr:nvSpPr>
      <xdr:spPr bwMode="auto">
        <a:xfrm>
          <a:off x="1964531" y="14894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162</xdr:row>
      <xdr:rowOff>9525</xdr:rowOff>
    </xdr:from>
    <xdr:ext cx="152400" cy="214313"/>
    <xdr:sp macro="" textlink="">
      <xdr:nvSpPr>
        <xdr:cNvPr id="451" name="chk_1ColYel" hidden="1">
          <a:extLst>
            <a:ext uri="{63B3BB69-23CF-44E3-9099-C40C66FF867C}">
              <a14:compatExt xmlns:a14="http://schemas.microsoft.com/office/drawing/2010/main" spid="_x0000_s1117"/>
            </a:ext>
            <a:ext uri="{FF2B5EF4-FFF2-40B4-BE49-F238E27FC236}">
              <a16:creationId xmlns:a16="http://schemas.microsoft.com/office/drawing/2014/main" id="{00000000-0008-0000-0200-0000C3010000}"/>
            </a:ext>
          </a:extLst>
        </xdr:cNvPr>
        <xdr:cNvSpPr/>
      </xdr:nvSpPr>
      <xdr:spPr bwMode="auto">
        <a:xfrm>
          <a:off x="1964531" y="15118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3</xdr:col>
      <xdr:colOff>0</xdr:colOff>
      <xdr:row>163</xdr:row>
      <xdr:rowOff>19050</xdr:rowOff>
    </xdr:from>
    <xdr:ext cx="152400" cy="214313"/>
    <xdr:sp macro="" textlink="">
      <xdr:nvSpPr>
        <xdr:cNvPr id="452" name="chk_1ColBlk" hidden="1">
          <a:extLst>
            <a:ext uri="{63B3BB69-23CF-44E3-9099-C40C66FF867C}">
              <a14:compatExt xmlns:a14="http://schemas.microsoft.com/office/drawing/2010/main" spid="_x0000_s1118"/>
            </a:ext>
            <a:ext uri="{FF2B5EF4-FFF2-40B4-BE49-F238E27FC236}">
              <a16:creationId xmlns:a16="http://schemas.microsoft.com/office/drawing/2014/main" id="{00000000-0008-0000-0200-0000C4010000}"/>
            </a:ext>
          </a:extLst>
        </xdr:cNvPr>
        <xdr:cNvSpPr/>
      </xdr:nvSpPr>
      <xdr:spPr bwMode="auto">
        <a:xfrm>
          <a:off x="1964531" y="15342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161</xdr:row>
      <xdr:rowOff>0</xdr:rowOff>
    </xdr:from>
    <xdr:ext cx="152400" cy="216429"/>
    <xdr:sp macro="" textlink="">
      <xdr:nvSpPr>
        <xdr:cNvPr id="453" name="chk_2ColRed" hidden="1">
          <a:extLst>
            <a:ext uri="{63B3BB69-23CF-44E3-9099-C40C66FF867C}">
              <a14:compatExt xmlns:a14="http://schemas.microsoft.com/office/drawing/2010/main" spid="_x0000_s1119"/>
            </a:ext>
            <a:ext uri="{FF2B5EF4-FFF2-40B4-BE49-F238E27FC236}">
              <a16:creationId xmlns:a16="http://schemas.microsoft.com/office/drawing/2014/main" id="{00000000-0008-0000-0200-0000C5010000}"/>
            </a:ext>
          </a:extLst>
        </xdr:cNvPr>
        <xdr:cNvSpPr/>
      </xdr:nvSpPr>
      <xdr:spPr bwMode="auto">
        <a:xfrm>
          <a:off x="4572000" y="14894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162</xdr:row>
      <xdr:rowOff>9525</xdr:rowOff>
    </xdr:from>
    <xdr:ext cx="152400" cy="214313"/>
    <xdr:sp macro="" textlink="">
      <xdr:nvSpPr>
        <xdr:cNvPr id="454" name="chk_2ColYel" hidden="1">
          <a:extLst>
            <a:ext uri="{63B3BB69-23CF-44E3-9099-C40C66FF867C}">
              <a14:compatExt xmlns:a14="http://schemas.microsoft.com/office/drawing/2010/main" spid="_x0000_s1120"/>
            </a:ext>
            <a:ext uri="{FF2B5EF4-FFF2-40B4-BE49-F238E27FC236}">
              <a16:creationId xmlns:a16="http://schemas.microsoft.com/office/drawing/2014/main" id="{00000000-0008-0000-0200-0000C6010000}"/>
            </a:ext>
          </a:extLst>
        </xdr:cNvPr>
        <xdr:cNvSpPr/>
      </xdr:nvSpPr>
      <xdr:spPr bwMode="auto">
        <a:xfrm>
          <a:off x="4572000" y="15118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10</xdr:col>
      <xdr:colOff>0</xdr:colOff>
      <xdr:row>163</xdr:row>
      <xdr:rowOff>19050</xdr:rowOff>
    </xdr:from>
    <xdr:ext cx="152400" cy="214313"/>
    <xdr:sp macro="" textlink="">
      <xdr:nvSpPr>
        <xdr:cNvPr id="455" name="chk_2ColBlk" hidden="1">
          <a:extLst>
            <a:ext uri="{63B3BB69-23CF-44E3-9099-C40C66FF867C}">
              <a14:compatExt xmlns:a14="http://schemas.microsoft.com/office/drawing/2010/main" spid="_x0000_s1121"/>
            </a:ext>
            <a:ext uri="{FF2B5EF4-FFF2-40B4-BE49-F238E27FC236}">
              <a16:creationId xmlns:a16="http://schemas.microsoft.com/office/drawing/2014/main" id="{00000000-0008-0000-0200-0000C7010000}"/>
            </a:ext>
          </a:extLst>
        </xdr:cNvPr>
        <xdr:cNvSpPr/>
      </xdr:nvSpPr>
      <xdr:spPr bwMode="auto">
        <a:xfrm>
          <a:off x="4572000" y="15342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161</xdr:row>
      <xdr:rowOff>0</xdr:rowOff>
    </xdr:from>
    <xdr:ext cx="152400" cy="216429"/>
    <xdr:sp macro="" textlink="">
      <xdr:nvSpPr>
        <xdr:cNvPr id="456" name="chk_3ColRed" hidden="1">
          <a:extLst>
            <a:ext uri="{63B3BB69-23CF-44E3-9099-C40C66FF867C}">
              <a14:compatExt xmlns:a14="http://schemas.microsoft.com/office/drawing/2010/main" spid="_x0000_s1122"/>
            </a:ext>
            <a:ext uri="{FF2B5EF4-FFF2-40B4-BE49-F238E27FC236}">
              <a16:creationId xmlns:a16="http://schemas.microsoft.com/office/drawing/2014/main" id="{00000000-0008-0000-0200-0000C8010000}"/>
            </a:ext>
          </a:extLst>
        </xdr:cNvPr>
        <xdr:cNvSpPr/>
      </xdr:nvSpPr>
      <xdr:spPr bwMode="auto">
        <a:xfrm>
          <a:off x="7143750" y="14894719"/>
          <a:ext cx="152400" cy="21642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162</xdr:row>
      <xdr:rowOff>9525</xdr:rowOff>
    </xdr:from>
    <xdr:ext cx="152400" cy="214313"/>
    <xdr:sp macro="" textlink="">
      <xdr:nvSpPr>
        <xdr:cNvPr id="457" name="chk_3ColYel" hidden="1">
          <a:extLst>
            <a:ext uri="{63B3BB69-23CF-44E3-9099-C40C66FF867C}">
              <a14:compatExt xmlns:a14="http://schemas.microsoft.com/office/drawing/2010/main" spid="_x0000_s1123"/>
            </a:ext>
            <a:ext uri="{FF2B5EF4-FFF2-40B4-BE49-F238E27FC236}">
              <a16:creationId xmlns:a16="http://schemas.microsoft.com/office/drawing/2014/main" id="{00000000-0008-0000-0200-0000C9010000}"/>
            </a:ext>
          </a:extLst>
        </xdr:cNvPr>
        <xdr:cNvSpPr/>
      </xdr:nvSpPr>
      <xdr:spPr bwMode="auto">
        <a:xfrm>
          <a:off x="7143750" y="15118556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17</xdr:col>
      <xdr:colOff>0</xdr:colOff>
      <xdr:row>163</xdr:row>
      <xdr:rowOff>19050</xdr:rowOff>
    </xdr:from>
    <xdr:ext cx="152400" cy="214313"/>
    <xdr:sp macro="" textlink="">
      <xdr:nvSpPr>
        <xdr:cNvPr id="458" name="chk_3ColBlk" hidden="1">
          <a:extLst>
            <a:ext uri="{63B3BB69-23CF-44E3-9099-C40C66FF867C}">
              <a14:compatExt xmlns:a14="http://schemas.microsoft.com/office/drawing/2010/main" spid="_x0000_s1124"/>
            </a:ext>
            <a:ext uri="{FF2B5EF4-FFF2-40B4-BE49-F238E27FC236}">
              <a16:creationId xmlns:a16="http://schemas.microsoft.com/office/drawing/2014/main" id="{00000000-0008-0000-0200-0000CA010000}"/>
            </a:ext>
          </a:extLst>
        </xdr:cNvPr>
        <xdr:cNvSpPr/>
      </xdr:nvSpPr>
      <xdr:spPr bwMode="auto">
        <a:xfrm>
          <a:off x="7143750" y="15342394"/>
          <a:ext cx="152400" cy="214313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1</xdr:col>
      <xdr:colOff>57150</xdr:colOff>
      <xdr:row>16</xdr:row>
      <xdr:rowOff>0</xdr:rowOff>
    </xdr:from>
    <xdr:ext cx="819150" cy="257174"/>
    <xdr:sp macro="" textlink="">
      <xdr:nvSpPr>
        <xdr:cNvPr id="459" name="cmd_PhotoAttach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200-0000CB010000}"/>
            </a:ext>
          </a:extLst>
        </xdr:cNvPr>
        <xdr:cNvSpPr/>
      </xdr:nvSpPr>
      <xdr:spPr bwMode="auto">
        <a:xfrm>
          <a:off x="666750" y="1619250"/>
          <a:ext cx="819150" cy="257174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79</xdr:row>
          <xdr:rowOff>9525</xdr:rowOff>
        </xdr:from>
        <xdr:to>
          <xdr:col>3</xdr:col>
          <xdr:colOff>152400</xdr:colOff>
          <xdr:row>80</xdr:row>
          <xdr:rowOff>19050</xdr:rowOff>
        </xdr:to>
        <xdr:sp macro="" textlink="">
          <xdr:nvSpPr>
            <xdr:cNvPr id="7173" name="CheckBox1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2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80</xdr:row>
          <xdr:rowOff>0</xdr:rowOff>
        </xdr:from>
        <xdr:to>
          <xdr:col>3</xdr:col>
          <xdr:colOff>45243</xdr:colOff>
          <xdr:row>80</xdr:row>
          <xdr:rowOff>200025</xdr:rowOff>
        </xdr:to>
        <xdr:sp macro="" textlink="">
          <xdr:nvSpPr>
            <xdr:cNvPr id="7174" name="CheckBox2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2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79</xdr:row>
          <xdr:rowOff>28575</xdr:rowOff>
        </xdr:from>
        <xdr:to>
          <xdr:col>5</xdr:col>
          <xdr:colOff>304800</xdr:colOff>
          <xdr:row>80</xdr:row>
          <xdr:rowOff>38100</xdr:rowOff>
        </xdr:to>
        <xdr:sp macro="" textlink="">
          <xdr:nvSpPr>
            <xdr:cNvPr id="7175" name="CheckBox3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2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80</xdr:row>
          <xdr:rowOff>9525</xdr:rowOff>
        </xdr:from>
        <xdr:to>
          <xdr:col>5</xdr:col>
          <xdr:colOff>304800</xdr:colOff>
          <xdr:row>81</xdr:row>
          <xdr:rowOff>9525</xdr:rowOff>
        </xdr:to>
        <xdr:sp macro="" textlink="">
          <xdr:nvSpPr>
            <xdr:cNvPr id="7176" name="CheckBox4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2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81</xdr:row>
          <xdr:rowOff>0</xdr:rowOff>
        </xdr:from>
        <xdr:to>
          <xdr:col>5</xdr:col>
          <xdr:colOff>304800</xdr:colOff>
          <xdr:row>81</xdr:row>
          <xdr:rowOff>200025</xdr:rowOff>
        </xdr:to>
        <xdr:sp macro="" textlink="">
          <xdr:nvSpPr>
            <xdr:cNvPr id="7177" name="CheckBox5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2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83</xdr:row>
          <xdr:rowOff>9525</xdr:rowOff>
        </xdr:from>
        <xdr:to>
          <xdr:col>3</xdr:col>
          <xdr:colOff>152400</xdr:colOff>
          <xdr:row>84</xdr:row>
          <xdr:rowOff>9525</xdr:rowOff>
        </xdr:to>
        <xdr:sp macro="" textlink="">
          <xdr:nvSpPr>
            <xdr:cNvPr id="7178" name="CheckBox6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2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84</xdr:row>
          <xdr:rowOff>19050</xdr:rowOff>
        </xdr:from>
        <xdr:to>
          <xdr:col>3</xdr:col>
          <xdr:colOff>152400</xdr:colOff>
          <xdr:row>85</xdr:row>
          <xdr:rowOff>9525</xdr:rowOff>
        </xdr:to>
        <xdr:sp macro="" textlink="">
          <xdr:nvSpPr>
            <xdr:cNvPr id="7179" name="CheckBox7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2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79</xdr:row>
          <xdr:rowOff>9525</xdr:rowOff>
        </xdr:from>
        <xdr:to>
          <xdr:col>10</xdr:col>
          <xdr:colOff>152400</xdr:colOff>
          <xdr:row>80</xdr:row>
          <xdr:rowOff>19050</xdr:rowOff>
        </xdr:to>
        <xdr:sp macro="" textlink="">
          <xdr:nvSpPr>
            <xdr:cNvPr id="7180" name="CheckBox8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2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80</xdr:row>
          <xdr:rowOff>0</xdr:rowOff>
        </xdr:from>
        <xdr:to>
          <xdr:col>10</xdr:col>
          <xdr:colOff>152400</xdr:colOff>
          <xdr:row>80</xdr:row>
          <xdr:rowOff>200025</xdr:rowOff>
        </xdr:to>
        <xdr:sp macro="" textlink="">
          <xdr:nvSpPr>
            <xdr:cNvPr id="7181" name="CheckBox9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2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79</xdr:row>
          <xdr:rowOff>28575</xdr:rowOff>
        </xdr:from>
        <xdr:to>
          <xdr:col>12</xdr:col>
          <xdr:colOff>285750</xdr:colOff>
          <xdr:row>80</xdr:row>
          <xdr:rowOff>38100</xdr:rowOff>
        </xdr:to>
        <xdr:sp macro="" textlink="">
          <xdr:nvSpPr>
            <xdr:cNvPr id="7182" name="CheckBox10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2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80</xdr:row>
          <xdr:rowOff>9525</xdr:rowOff>
        </xdr:from>
        <xdr:to>
          <xdr:col>12</xdr:col>
          <xdr:colOff>285750</xdr:colOff>
          <xdr:row>81</xdr:row>
          <xdr:rowOff>9525</xdr:rowOff>
        </xdr:to>
        <xdr:sp macro="" textlink="">
          <xdr:nvSpPr>
            <xdr:cNvPr id="7183" name="CheckBox11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2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81</xdr:row>
          <xdr:rowOff>0</xdr:rowOff>
        </xdr:from>
        <xdr:to>
          <xdr:col>12</xdr:col>
          <xdr:colOff>285750</xdr:colOff>
          <xdr:row>81</xdr:row>
          <xdr:rowOff>200025</xdr:rowOff>
        </xdr:to>
        <xdr:sp macro="" textlink="">
          <xdr:nvSpPr>
            <xdr:cNvPr id="7184" name="CheckBox12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2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83</xdr:row>
          <xdr:rowOff>9525</xdr:rowOff>
        </xdr:from>
        <xdr:to>
          <xdr:col>10</xdr:col>
          <xdr:colOff>152400</xdr:colOff>
          <xdr:row>84</xdr:row>
          <xdr:rowOff>9525</xdr:rowOff>
        </xdr:to>
        <xdr:sp macro="" textlink="">
          <xdr:nvSpPr>
            <xdr:cNvPr id="7185" name="CheckBox13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2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84</xdr:row>
          <xdr:rowOff>19050</xdr:rowOff>
        </xdr:from>
        <xdr:to>
          <xdr:col>10</xdr:col>
          <xdr:colOff>152400</xdr:colOff>
          <xdr:row>85</xdr:row>
          <xdr:rowOff>9525</xdr:rowOff>
        </xdr:to>
        <xdr:sp macro="" textlink="">
          <xdr:nvSpPr>
            <xdr:cNvPr id="7186" name="CheckBox14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2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79</xdr:row>
          <xdr:rowOff>9525</xdr:rowOff>
        </xdr:from>
        <xdr:to>
          <xdr:col>17</xdr:col>
          <xdr:colOff>152400</xdr:colOff>
          <xdr:row>80</xdr:row>
          <xdr:rowOff>19050</xdr:rowOff>
        </xdr:to>
        <xdr:sp macro="" textlink="">
          <xdr:nvSpPr>
            <xdr:cNvPr id="7187" name="CheckBox15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2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17</xdr:col>
          <xdr:colOff>152400</xdr:colOff>
          <xdr:row>80</xdr:row>
          <xdr:rowOff>200025</xdr:rowOff>
        </xdr:to>
        <xdr:sp macro="" textlink="">
          <xdr:nvSpPr>
            <xdr:cNvPr id="7188" name="CheckBox16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2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79</xdr:row>
          <xdr:rowOff>28575</xdr:rowOff>
        </xdr:from>
        <xdr:to>
          <xdr:col>19</xdr:col>
          <xdr:colOff>285750</xdr:colOff>
          <xdr:row>80</xdr:row>
          <xdr:rowOff>38100</xdr:rowOff>
        </xdr:to>
        <xdr:sp macro="" textlink="">
          <xdr:nvSpPr>
            <xdr:cNvPr id="7189" name="CheckBox17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2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80</xdr:row>
          <xdr:rowOff>9525</xdr:rowOff>
        </xdr:from>
        <xdr:to>
          <xdr:col>19</xdr:col>
          <xdr:colOff>285750</xdr:colOff>
          <xdr:row>81</xdr:row>
          <xdr:rowOff>9525</xdr:rowOff>
        </xdr:to>
        <xdr:sp macro="" textlink="">
          <xdr:nvSpPr>
            <xdr:cNvPr id="7190" name="CheckBox18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2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81</xdr:row>
          <xdr:rowOff>0</xdr:rowOff>
        </xdr:from>
        <xdr:to>
          <xdr:col>19</xdr:col>
          <xdr:colOff>285750</xdr:colOff>
          <xdr:row>81</xdr:row>
          <xdr:rowOff>200025</xdr:rowOff>
        </xdr:to>
        <xdr:sp macro="" textlink="">
          <xdr:nvSpPr>
            <xdr:cNvPr id="7191" name="CheckBox19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2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83</xdr:row>
          <xdr:rowOff>9525</xdr:rowOff>
        </xdr:from>
        <xdr:to>
          <xdr:col>17</xdr:col>
          <xdr:colOff>152400</xdr:colOff>
          <xdr:row>84</xdr:row>
          <xdr:rowOff>9525</xdr:rowOff>
        </xdr:to>
        <xdr:sp macro="" textlink="">
          <xdr:nvSpPr>
            <xdr:cNvPr id="7192" name="CheckBox20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2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84</xdr:row>
          <xdr:rowOff>19050</xdr:rowOff>
        </xdr:from>
        <xdr:to>
          <xdr:col>17</xdr:col>
          <xdr:colOff>152400</xdr:colOff>
          <xdr:row>85</xdr:row>
          <xdr:rowOff>9525</xdr:rowOff>
        </xdr:to>
        <xdr:sp macro="" textlink="">
          <xdr:nvSpPr>
            <xdr:cNvPr id="7193" name="CheckBox21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2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118</xdr:row>
          <xdr:rowOff>9525</xdr:rowOff>
        </xdr:from>
        <xdr:to>
          <xdr:col>3</xdr:col>
          <xdr:colOff>171450</xdr:colOff>
          <xdr:row>119</xdr:row>
          <xdr:rowOff>19050</xdr:rowOff>
        </xdr:to>
        <xdr:sp macro="" textlink="">
          <xdr:nvSpPr>
            <xdr:cNvPr id="7194" name="CheckBox22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2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119</xdr:row>
          <xdr:rowOff>0</xdr:rowOff>
        </xdr:from>
        <xdr:to>
          <xdr:col>3</xdr:col>
          <xdr:colOff>161925</xdr:colOff>
          <xdr:row>119</xdr:row>
          <xdr:rowOff>200025</xdr:rowOff>
        </xdr:to>
        <xdr:sp macro="" textlink="">
          <xdr:nvSpPr>
            <xdr:cNvPr id="7195" name="CheckBox23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2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118</xdr:row>
          <xdr:rowOff>28575</xdr:rowOff>
        </xdr:from>
        <xdr:to>
          <xdr:col>5</xdr:col>
          <xdr:colOff>323850</xdr:colOff>
          <xdr:row>119</xdr:row>
          <xdr:rowOff>38100</xdr:rowOff>
        </xdr:to>
        <xdr:sp macro="" textlink="">
          <xdr:nvSpPr>
            <xdr:cNvPr id="7196" name="CheckBox24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2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119</xdr:row>
          <xdr:rowOff>9525</xdr:rowOff>
        </xdr:from>
        <xdr:to>
          <xdr:col>5</xdr:col>
          <xdr:colOff>323850</xdr:colOff>
          <xdr:row>120</xdr:row>
          <xdr:rowOff>9525</xdr:rowOff>
        </xdr:to>
        <xdr:sp macro="" textlink="">
          <xdr:nvSpPr>
            <xdr:cNvPr id="7197" name="CheckBox25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2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120</xdr:row>
          <xdr:rowOff>0</xdr:rowOff>
        </xdr:from>
        <xdr:to>
          <xdr:col>5</xdr:col>
          <xdr:colOff>323850</xdr:colOff>
          <xdr:row>120</xdr:row>
          <xdr:rowOff>200025</xdr:rowOff>
        </xdr:to>
        <xdr:sp macro="" textlink="">
          <xdr:nvSpPr>
            <xdr:cNvPr id="7198" name="CheckBox26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2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122</xdr:row>
          <xdr:rowOff>9525</xdr:rowOff>
        </xdr:from>
        <xdr:to>
          <xdr:col>3</xdr:col>
          <xdr:colOff>171450</xdr:colOff>
          <xdr:row>123</xdr:row>
          <xdr:rowOff>9525</xdr:rowOff>
        </xdr:to>
        <xdr:sp macro="" textlink="">
          <xdr:nvSpPr>
            <xdr:cNvPr id="7199" name="CheckBox27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2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123</xdr:row>
          <xdr:rowOff>19050</xdr:rowOff>
        </xdr:from>
        <xdr:to>
          <xdr:col>3</xdr:col>
          <xdr:colOff>171450</xdr:colOff>
          <xdr:row>124</xdr:row>
          <xdr:rowOff>9525</xdr:rowOff>
        </xdr:to>
        <xdr:sp macro="" textlink="">
          <xdr:nvSpPr>
            <xdr:cNvPr id="7200" name="CheckBox28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2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118</xdr:row>
          <xdr:rowOff>9525</xdr:rowOff>
        </xdr:from>
        <xdr:to>
          <xdr:col>10</xdr:col>
          <xdr:colOff>161925</xdr:colOff>
          <xdr:row>119</xdr:row>
          <xdr:rowOff>19050</xdr:rowOff>
        </xdr:to>
        <xdr:sp macro="" textlink="">
          <xdr:nvSpPr>
            <xdr:cNvPr id="7201" name="CheckBox29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2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119</xdr:row>
          <xdr:rowOff>0</xdr:rowOff>
        </xdr:from>
        <xdr:to>
          <xdr:col>10</xdr:col>
          <xdr:colOff>161925</xdr:colOff>
          <xdr:row>119</xdr:row>
          <xdr:rowOff>200025</xdr:rowOff>
        </xdr:to>
        <xdr:sp macro="" textlink="">
          <xdr:nvSpPr>
            <xdr:cNvPr id="7202" name="CheckBox30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2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118</xdr:row>
          <xdr:rowOff>28575</xdr:rowOff>
        </xdr:from>
        <xdr:to>
          <xdr:col>12</xdr:col>
          <xdr:colOff>304800</xdr:colOff>
          <xdr:row>119</xdr:row>
          <xdr:rowOff>38100</xdr:rowOff>
        </xdr:to>
        <xdr:sp macro="" textlink="">
          <xdr:nvSpPr>
            <xdr:cNvPr id="7203" name="CheckBox31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2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119</xdr:row>
          <xdr:rowOff>9525</xdr:rowOff>
        </xdr:from>
        <xdr:to>
          <xdr:col>12</xdr:col>
          <xdr:colOff>304800</xdr:colOff>
          <xdr:row>120</xdr:row>
          <xdr:rowOff>9525</xdr:rowOff>
        </xdr:to>
        <xdr:sp macro="" textlink="">
          <xdr:nvSpPr>
            <xdr:cNvPr id="7204" name="CheckBox32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2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120</xdr:row>
          <xdr:rowOff>0</xdr:rowOff>
        </xdr:from>
        <xdr:to>
          <xdr:col>12</xdr:col>
          <xdr:colOff>304800</xdr:colOff>
          <xdr:row>120</xdr:row>
          <xdr:rowOff>200025</xdr:rowOff>
        </xdr:to>
        <xdr:sp macro="" textlink="">
          <xdr:nvSpPr>
            <xdr:cNvPr id="7205" name="CheckBox33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2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122</xdr:row>
          <xdr:rowOff>9525</xdr:rowOff>
        </xdr:from>
        <xdr:to>
          <xdr:col>10</xdr:col>
          <xdr:colOff>161925</xdr:colOff>
          <xdr:row>123</xdr:row>
          <xdr:rowOff>9525</xdr:rowOff>
        </xdr:to>
        <xdr:sp macro="" textlink="">
          <xdr:nvSpPr>
            <xdr:cNvPr id="7206" name="CheckBox34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00000000-0008-0000-02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123</xdr:row>
          <xdr:rowOff>19050</xdr:rowOff>
        </xdr:from>
        <xdr:to>
          <xdr:col>10</xdr:col>
          <xdr:colOff>161925</xdr:colOff>
          <xdr:row>124</xdr:row>
          <xdr:rowOff>9525</xdr:rowOff>
        </xdr:to>
        <xdr:sp macro="" textlink="">
          <xdr:nvSpPr>
            <xdr:cNvPr id="7207" name="CheckBox35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id="{00000000-0008-0000-0200-00002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118</xdr:row>
          <xdr:rowOff>9525</xdr:rowOff>
        </xdr:from>
        <xdr:to>
          <xdr:col>17</xdr:col>
          <xdr:colOff>171450</xdr:colOff>
          <xdr:row>119</xdr:row>
          <xdr:rowOff>19050</xdr:rowOff>
        </xdr:to>
        <xdr:sp macro="" textlink="">
          <xdr:nvSpPr>
            <xdr:cNvPr id="7208" name="CheckBox36" hidden="1">
              <a:extLst>
                <a:ext uri="{63B3BB69-23CF-44E3-9099-C40C66FF867C}">
                  <a14:compatExt spid="_x0000_s7208"/>
                </a:ext>
                <a:ext uri="{FF2B5EF4-FFF2-40B4-BE49-F238E27FC236}">
                  <a16:creationId xmlns:a16="http://schemas.microsoft.com/office/drawing/2014/main" id="{00000000-0008-0000-0200-00002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119</xdr:row>
          <xdr:rowOff>0</xdr:rowOff>
        </xdr:from>
        <xdr:to>
          <xdr:col>17</xdr:col>
          <xdr:colOff>171450</xdr:colOff>
          <xdr:row>119</xdr:row>
          <xdr:rowOff>200025</xdr:rowOff>
        </xdr:to>
        <xdr:sp macro="" textlink="">
          <xdr:nvSpPr>
            <xdr:cNvPr id="7209" name="CheckBox37" hidden="1">
              <a:extLst>
                <a:ext uri="{63B3BB69-23CF-44E3-9099-C40C66FF867C}">
                  <a14:compatExt spid="_x0000_s7209"/>
                </a:ext>
                <a:ext uri="{FF2B5EF4-FFF2-40B4-BE49-F238E27FC236}">
                  <a16:creationId xmlns:a16="http://schemas.microsoft.com/office/drawing/2014/main" id="{00000000-0008-0000-0200-00002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118</xdr:row>
          <xdr:rowOff>28575</xdr:rowOff>
        </xdr:from>
        <xdr:to>
          <xdr:col>19</xdr:col>
          <xdr:colOff>304800</xdr:colOff>
          <xdr:row>119</xdr:row>
          <xdr:rowOff>38100</xdr:rowOff>
        </xdr:to>
        <xdr:sp macro="" textlink="">
          <xdr:nvSpPr>
            <xdr:cNvPr id="7210" name="CheckBox38" hidden="1">
              <a:extLst>
                <a:ext uri="{63B3BB69-23CF-44E3-9099-C40C66FF867C}">
                  <a14:compatExt spid="_x0000_s7210"/>
                </a:ext>
                <a:ext uri="{FF2B5EF4-FFF2-40B4-BE49-F238E27FC236}">
                  <a16:creationId xmlns:a16="http://schemas.microsoft.com/office/drawing/2014/main" id="{00000000-0008-0000-0200-00002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119</xdr:row>
          <xdr:rowOff>9525</xdr:rowOff>
        </xdr:from>
        <xdr:to>
          <xdr:col>19</xdr:col>
          <xdr:colOff>304800</xdr:colOff>
          <xdr:row>120</xdr:row>
          <xdr:rowOff>9525</xdr:rowOff>
        </xdr:to>
        <xdr:sp macro="" textlink="">
          <xdr:nvSpPr>
            <xdr:cNvPr id="7211" name="CheckBox39" hidden="1">
              <a:extLst>
                <a:ext uri="{63B3BB69-23CF-44E3-9099-C40C66FF867C}">
                  <a14:compatExt spid="_x0000_s7211"/>
                </a:ext>
                <a:ext uri="{FF2B5EF4-FFF2-40B4-BE49-F238E27FC236}">
                  <a16:creationId xmlns:a16="http://schemas.microsoft.com/office/drawing/2014/main" id="{00000000-0008-0000-0200-00002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120</xdr:row>
          <xdr:rowOff>0</xdr:rowOff>
        </xdr:from>
        <xdr:to>
          <xdr:col>19</xdr:col>
          <xdr:colOff>304800</xdr:colOff>
          <xdr:row>120</xdr:row>
          <xdr:rowOff>200025</xdr:rowOff>
        </xdr:to>
        <xdr:sp macro="" textlink="">
          <xdr:nvSpPr>
            <xdr:cNvPr id="7212" name="CheckBox40" hidden="1">
              <a:extLst>
                <a:ext uri="{63B3BB69-23CF-44E3-9099-C40C66FF867C}">
                  <a14:compatExt spid="_x0000_s7212"/>
                </a:ext>
                <a:ext uri="{FF2B5EF4-FFF2-40B4-BE49-F238E27FC236}">
                  <a16:creationId xmlns:a16="http://schemas.microsoft.com/office/drawing/2014/main" id="{00000000-0008-0000-0200-00002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122</xdr:row>
          <xdr:rowOff>9525</xdr:rowOff>
        </xdr:from>
        <xdr:to>
          <xdr:col>17</xdr:col>
          <xdr:colOff>171450</xdr:colOff>
          <xdr:row>123</xdr:row>
          <xdr:rowOff>9525</xdr:rowOff>
        </xdr:to>
        <xdr:sp macro="" textlink="">
          <xdr:nvSpPr>
            <xdr:cNvPr id="7213" name="CheckBox41" hidden="1">
              <a:extLst>
                <a:ext uri="{63B3BB69-23CF-44E3-9099-C40C66FF867C}">
                  <a14:compatExt spid="_x0000_s7213"/>
                </a:ext>
                <a:ext uri="{FF2B5EF4-FFF2-40B4-BE49-F238E27FC236}">
                  <a16:creationId xmlns:a16="http://schemas.microsoft.com/office/drawing/2014/main" id="{00000000-0008-0000-0200-00002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123</xdr:row>
          <xdr:rowOff>19050</xdr:rowOff>
        </xdr:from>
        <xdr:to>
          <xdr:col>17</xdr:col>
          <xdr:colOff>171450</xdr:colOff>
          <xdr:row>124</xdr:row>
          <xdr:rowOff>9525</xdr:rowOff>
        </xdr:to>
        <xdr:sp macro="" textlink="">
          <xdr:nvSpPr>
            <xdr:cNvPr id="7214" name="CheckBox42" hidden="1">
              <a:extLst>
                <a:ext uri="{63B3BB69-23CF-44E3-9099-C40C66FF867C}">
                  <a14:compatExt spid="_x0000_s7214"/>
                </a:ext>
                <a:ext uri="{FF2B5EF4-FFF2-40B4-BE49-F238E27FC236}">
                  <a16:creationId xmlns:a16="http://schemas.microsoft.com/office/drawing/2014/main" id="{00000000-0008-0000-0200-00002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157</xdr:row>
          <xdr:rowOff>9525</xdr:rowOff>
        </xdr:from>
        <xdr:to>
          <xdr:col>3</xdr:col>
          <xdr:colOff>171450</xdr:colOff>
          <xdr:row>158</xdr:row>
          <xdr:rowOff>19050</xdr:rowOff>
        </xdr:to>
        <xdr:sp macro="" textlink="">
          <xdr:nvSpPr>
            <xdr:cNvPr id="7215" name="CheckBox43" hidden="1">
              <a:extLst>
                <a:ext uri="{63B3BB69-23CF-44E3-9099-C40C66FF867C}">
                  <a14:compatExt spid="_x0000_s7215"/>
                </a:ext>
                <a:ext uri="{FF2B5EF4-FFF2-40B4-BE49-F238E27FC236}">
                  <a16:creationId xmlns:a16="http://schemas.microsoft.com/office/drawing/2014/main" id="{00000000-0008-0000-0200-00002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158</xdr:row>
          <xdr:rowOff>0</xdr:rowOff>
        </xdr:from>
        <xdr:to>
          <xdr:col>3</xdr:col>
          <xdr:colOff>171450</xdr:colOff>
          <xdr:row>158</xdr:row>
          <xdr:rowOff>200025</xdr:rowOff>
        </xdr:to>
        <xdr:sp macro="" textlink="">
          <xdr:nvSpPr>
            <xdr:cNvPr id="7216" name="CheckBox44" hidden="1">
              <a:extLst>
                <a:ext uri="{63B3BB69-23CF-44E3-9099-C40C66FF867C}">
                  <a14:compatExt spid="_x0000_s7216"/>
                </a:ext>
                <a:ext uri="{FF2B5EF4-FFF2-40B4-BE49-F238E27FC236}">
                  <a16:creationId xmlns:a16="http://schemas.microsoft.com/office/drawing/2014/main" id="{00000000-0008-0000-0200-00003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157</xdr:row>
          <xdr:rowOff>28575</xdr:rowOff>
        </xdr:from>
        <xdr:to>
          <xdr:col>5</xdr:col>
          <xdr:colOff>323850</xdr:colOff>
          <xdr:row>158</xdr:row>
          <xdr:rowOff>38100</xdr:rowOff>
        </xdr:to>
        <xdr:sp macro="" textlink="">
          <xdr:nvSpPr>
            <xdr:cNvPr id="7217" name="CheckBox45" hidden="1">
              <a:extLst>
                <a:ext uri="{63B3BB69-23CF-44E3-9099-C40C66FF867C}">
                  <a14:compatExt spid="_x0000_s7217"/>
                </a:ext>
                <a:ext uri="{FF2B5EF4-FFF2-40B4-BE49-F238E27FC236}">
                  <a16:creationId xmlns:a16="http://schemas.microsoft.com/office/drawing/2014/main" id="{00000000-0008-0000-0200-00003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158</xdr:row>
          <xdr:rowOff>9525</xdr:rowOff>
        </xdr:from>
        <xdr:to>
          <xdr:col>5</xdr:col>
          <xdr:colOff>323850</xdr:colOff>
          <xdr:row>159</xdr:row>
          <xdr:rowOff>9525</xdr:rowOff>
        </xdr:to>
        <xdr:sp macro="" textlink="">
          <xdr:nvSpPr>
            <xdr:cNvPr id="7218" name="CheckBox46" hidden="1">
              <a:extLst>
                <a:ext uri="{63B3BB69-23CF-44E3-9099-C40C66FF867C}">
                  <a14:compatExt spid="_x0000_s7218"/>
                </a:ext>
                <a:ext uri="{FF2B5EF4-FFF2-40B4-BE49-F238E27FC236}">
                  <a16:creationId xmlns:a16="http://schemas.microsoft.com/office/drawing/2014/main" id="{00000000-0008-0000-0200-00003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159</xdr:row>
          <xdr:rowOff>0</xdr:rowOff>
        </xdr:from>
        <xdr:to>
          <xdr:col>5</xdr:col>
          <xdr:colOff>323850</xdr:colOff>
          <xdr:row>159</xdr:row>
          <xdr:rowOff>200025</xdr:rowOff>
        </xdr:to>
        <xdr:sp macro="" textlink="">
          <xdr:nvSpPr>
            <xdr:cNvPr id="7219" name="CheckBox47" hidden="1">
              <a:extLst>
                <a:ext uri="{63B3BB69-23CF-44E3-9099-C40C66FF867C}">
                  <a14:compatExt spid="_x0000_s7219"/>
                </a:ext>
                <a:ext uri="{FF2B5EF4-FFF2-40B4-BE49-F238E27FC236}">
                  <a16:creationId xmlns:a16="http://schemas.microsoft.com/office/drawing/2014/main" id="{00000000-0008-0000-0200-00003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161</xdr:row>
          <xdr:rowOff>9525</xdr:rowOff>
        </xdr:from>
        <xdr:to>
          <xdr:col>3</xdr:col>
          <xdr:colOff>171450</xdr:colOff>
          <xdr:row>162</xdr:row>
          <xdr:rowOff>9525</xdr:rowOff>
        </xdr:to>
        <xdr:sp macro="" textlink="">
          <xdr:nvSpPr>
            <xdr:cNvPr id="7220" name="CheckBox48" hidden="1">
              <a:extLst>
                <a:ext uri="{63B3BB69-23CF-44E3-9099-C40C66FF867C}">
                  <a14:compatExt spid="_x0000_s7220"/>
                </a:ext>
                <a:ext uri="{FF2B5EF4-FFF2-40B4-BE49-F238E27FC236}">
                  <a16:creationId xmlns:a16="http://schemas.microsoft.com/office/drawing/2014/main" id="{00000000-0008-0000-0200-00003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162</xdr:row>
          <xdr:rowOff>19050</xdr:rowOff>
        </xdr:from>
        <xdr:to>
          <xdr:col>3</xdr:col>
          <xdr:colOff>171450</xdr:colOff>
          <xdr:row>163</xdr:row>
          <xdr:rowOff>9525</xdr:rowOff>
        </xdr:to>
        <xdr:sp macro="" textlink="">
          <xdr:nvSpPr>
            <xdr:cNvPr id="7221" name="CheckBox49" hidden="1">
              <a:extLst>
                <a:ext uri="{63B3BB69-23CF-44E3-9099-C40C66FF867C}">
                  <a14:compatExt spid="_x0000_s7221"/>
                </a:ext>
                <a:ext uri="{FF2B5EF4-FFF2-40B4-BE49-F238E27FC236}">
                  <a16:creationId xmlns:a16="http://schemas.microsoft.com/office/drawing/2014/main" id="{00000000-0008-0000-0200-00003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157</xdr:row>
          <xdr:rowOff>9525</xdr:rowOff>
        </xdr:from>
        <xdr:to>
          <xdr:col>10</xdr:col>
          <xdr:colOff>161925</xdr:colOff>
          <xdr:row>158</xdr:row>
          <xdr:rowOff>19050</xdr:rowOff>
        </xdr:to>
        <xdr:sp macro="" textlink="">
          <xdr:nvSpPr>
            <xdr:cNvPr id="7222" name="CheckBox50" hidden="1">
              <a:extLst>
                <a:ext uri="{63B3BB69-23CF-44E3-9099-C40C66FF867C}">
                  <a14:compatExt spid="_x0000_s7222"/>
                </a:ext>
                <a:ext uri="{FF2B5EF4-FFF2-40B4-BE49-F238E27FC236}">
                  <a16:creationId xmlns:a16="http://schemas.microsoft.com/office/drawing/2014/main" id="{00000000-0008-0000-0200-00003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158</xdr:row>
          <xdr:rowOff>0</xdr:rowOff>
        </xdr:from>
        <xdr:to>
          <xdr:col>10</xdr:col>
          <xdr:colOff>161925</xdr:colOff>
          <xdr:row>158</xdr:row>
          <xdr:rowOff>200025</xdr:rowOff>
        </xdr:to>
        <xdr:sp macro="" textlink="">
          <xdr:nvSpPr>
            <xdr:cNvPr id="7223" name="CheckBox51" hidden="1">
              <a:extLst>
                <a:ext uri="{63B3BB69-23CF-44E3-9099-C40C66FF867C}">
                  <a14:compatExt spid="_x0000_s7223"/>
                </a:ext>
                <a:ext uri="{FF2B5EF4-FFF2-40B4-BE49-F238E27FC236}">
                  <a16:creationId xmlns:a16="http://schemas.microsoft.com/office/drawing/2014/main" id="{00000000-0008-0000-0200-00003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157</xdr:row>
          <xdr:rowOff>28575</xdr:rowOff>
        </xdr:from>
        <xdr:to>
          <xdr:col>12</xdr:col>
          <xdr:colOff>304800</xdr:colOff>
          <xdr:row>158</xdr:row>
          <xdr:rowOff>38100</xdr:rowOff>
        </xdr:to>
        <xdr:sp macro="" textlink="">
          <xdr:nvSpPr>
            <xdr:cNvPr id="7224" name="CheckBox52" hidden="1">
              <a:extLst>
                <a:ext uri="{63B3BB69-23CF-44E3-9099-C40C66FF867C}">
                  <a14:compatExt spid="_x0000_s7224"/>
                </a:ext>
                <a:ext uri="{FF2B5EF4-FFF2-40B4-BE49-F238E27FC236}">
                  <a16:creationId xmlns:a16="http://schemas.microsoft.com/office/drawing/2014/main" id="{00000000-0008-0000-0200-00003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158</xdr:row>
          <xdr:rowOff>9525</xdr:rowOff>
        </xdr:from>
        <xdr:to>
          <xdr:col>12</xdr:col>
          <xdr:colOff>304800</xdr:colOff>
          <xdr:row>159</xdr:row>
          <xdr:rowOff>9525</xdr:rowOff>
        </xdr:to>
        <xdr:sp macro="" textlink="">
          <xdr:nvSpPr>
            <xdr:cNvPr id="7225" name="CheckBox53" hidden="1">
              <a:extLst>
                <a:ext uri="{63B3BB69-23CF-44E3-9099-C40C66FF867C}">
                  <a14:compatExt spid="_x0000_s7225"/>
                </a:ext>
                <a:ext uri="{FF2B5EF4-FFF2-40B4-BE49-F238E27FC236}">
                  <a16:creationId xmlns:a16="http://schemas.microsoft.com/office/drawing/2014/main" id="{00000000-0008-0000-0200-00003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159</xdr:row>
          <xdr:rowOff>0</xdr:rowOff>
        </xdr:from>
        <xdr:to>
          <xdr:col>12</xdr:col>
          <xdr:colOff>304800</xdr:colOff>
          <xdr:row>159</xdr:row>
          <xdr:rowOff>200025</xdr:rowOff>
        </xdr:to>
        <xdr:sp macro="" textlink="">
          <xdr:nvSpPr>
            <xdr:cNvPr id="7226" name="CheckBox54" hidden="1">
              <a:extLst>
                <a:ext uri="{63B3BB69-23CF-44E3-9099-C40C66FF867C}">
                  <a14:compatExt spid="_x0000_s7226"/>
                </a:ext>
                <a:ext uri="{FF2B5EF4-FFF2-40B4-BE49-F238E27FC236}">
                  <a16:creationId xmlns:a16="http://schemas.microsoft.com/office/drawing/2014/main" id="{00000000-0008-0000-0200-00003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161</xdr:row>
          <xdr:rowOff>9525</xdr:rowOff>
        </xdr:from>
        <xdr:to>
          <xdr:col>10</xdr:col>
          <xdr:colOff>161925</xdr:colOff>
          <xdr:row>162</xdr:row>
          <xdr:rowOff>9525</xdr:rowOff>
        </xdr:to>
        <xdr:sp macro="" textlink="">
          <xdr:nvSpPr>
            <xdr:cNvPr id="7227" name="CheckBox55" hidden="1">
              <a:extLst>
                <a:ext uri="{63B3BB69-23CF-44E3-9099-C40C66FF867C}">
                  <a14:compatExt spid="_x0000_s7227"/>
                </a:ext>
                <a:ext uri="{FF2B5EF4-FFF2-40B4-BE49-F238E27FC236}">
                  <a16:creationId xmlns:a16="http://schemas.microsoft.com/office/drawing/2014/main" id="{00000000-0008-0000-0200-00003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162</xdr:row>
          <xdr:rowOff>19050</xdr:rowOff>
        </xdr:from>
        <xdr:to>
          <xdr:col>10</xdr:col>
          <xdr:colOff>161925</xdr:colOff>
          <xdr:row>163</xdr:row>
          <xdr:rowOff>9525</xdr:rowOff>
        </xdr:to>
        <xdr:sp macro="" textlink="">
          <xdr:nvSpPr>
            <xdr:cNvPr id="7228" name="CheckBox56" hidden="1">
              <a:extLst>
                <a:ext uri="{63B3BB69-23CF-44E3-9099-C40C66FF867C}">
                  <a14:compatExt spid="_x0000_s7228"/>
                </a:ext>
                <a:ext uri="{FF2B5EF4-FFF2-40B4-BE49-F238E27FC236}">
                  <a16:creationId xmlns:a16="http://schemas.microsoft.com/office/drawing/2014/main" id="{00000000-0008-0000-0200-00003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157</xdr:row>
          <xdr:rowOff>9525</xdr:rowOff>
        </xdr:from>
        <xdr:to>
          <xdr:col>17</xdr:col>
          <xdr:colOff>171450</xdr:colOff>
          <xdr:row>158</xdr:row>
          <xdr:rowOff>19050</xdr:rowOff>
        </xdr:to>
        <xdr:sp macro="" textlink="">
          <xdr:nvSpPr>
            <xdr:cNvPr id="7229" name="CheckBox57" hidden="1">
              <a:extLst>
                <a:ext uri="{63B3BB69-23CF-44E3-9099-C40C66FF867C}">
                  <a14:compatExt spid="_x0000_s7229"/>
                </a:ext>
                <a:ext uri="{FF2B5EF4-FFF2-40B4-BE49-F238E27FC236}">
                  <a16:creationId xmlns:a16="http://schemas.microsoft.com/office/drawing/2014/main" id="{00000000-0008-0000-0200-00003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158</xdr:row>
          <xdr:rowOff>0</xdr:rowOff>
        </xdr:from>
        <xdr:to>
          <xdr:col>17</xdr:col>
          <xdr:colOff>171450</xdr:colOff>
          <xdr:row>158</xdr:row>
          <xdr:rowOff>200025</xdr:rowOff>
        </xdr:to>
        <xdr:sp macro="" textlink="">
          <xdr:nvSpPr>
            <xdr:cNvPr id="7230" name="CheckBox58" hidden="1">
              <a:extLst>
                <a:ext uri="{63B3BB69-23CF-44E3-9099-C40C66FF867C}">
                  <a14:compatExt spid="_x0000_s7230"/>
                </a:ext>
                <a:ext uri="{FF2B5EF4-FFF2-40B4-BE49-F238E27FC236}">
                  <a16:creationId xmlns:a16="http://schemas.microsoft.com/office/drawing/2014/main" id="{00000000-0008-0000-0200-00003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157</xdr:row>
          <xdr:rowOff>28575</xdr:rowOff>
        </xdr:from>
        <xdr:to>
          <xdr:col>19</xdr:col>
          <xdr:colOff>304800</xdr:colOff>
          <xdr:row>158</xdr:row>
          <xdr:rowOff>38100</xdr:rowOff>
        </xdr:to>
        <xdr:sp macro="" textlink="">
          <xdr:nvSpPr>
            <xdr:cNvPr id="7231" name="CheckBox59" hidden="1">
              <a:extLst>
                <a:ext uri="{63B3BB69-23CF-44E3-9099-C40C66FF867C}">
                  <a14:compatExt spid="_x0000_s7231"/>
                </a:ext>
                <a:ext uri="{FF2B5EF4-FFF2-40B4-BE49-F238E27FC236}">
                  <a16:creationId xmlns:a16="http://schemas.microsoft.com/office/drawing/2014/main" id="{00000000-0008-0000-0200-00003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158</xdr:row>
          <xdr:rowOff>9525</xdr:rowOff>
        </xdr:from>
        <xdr:to>
          <xdr:col>19</xdr:col>
          <xdr:colOff>304800</xdr:colOff>
          <xdr:row>159</xdr:row>
          <xdr:rowOff>9525</xdr:rowOff>
        </xdr:to>
        <xdr:sp macro="" textlink="">
          <xdr:nvSpPr>
            <xdr:cNvPr id="7232" name="CheckBox60" hidden="1">
              <a:extLst>
                <a:ext uri="{63B3BB69-23CF-44E3-9099-C40C66FF867C}">
                  <a14:compatExt spid="_x0000_s7232"/>
                </a:ext>
                <a:ext uri="{FF2B5EF4-FFF2-40B4-BE49-F238E27FC236}">
                  <a16:creationId xmlns:a16="http://schemas.microsoft.com/office/drawing/2014/main" id="{00000000-0008-0000-0200-00004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159</xdr:row>
          <xdr:rowOff>0</xdr:rowOff>
        </xdr:from>
        <xdr:to>
          <xdr:col>19</xdr:col>
          <xdr:colOff>304800</xdr:colOff>
          <xdr:row>159</xdr:row>
          <xdr:rowOff>200025</xdr:rowOff>
        </xdr:to>
        <xdr:sp macro="" textlink="">
          <xdr:nvSpPr>
            <xdr:cNvPr id="7233" name="CheckBox61" hidden="1">
              <a:extLst>
                <a:ext uri="{63B3BB69-23CF-44E3-9099-C40C66FF867C}">
                  <a14:compatExt spid="_x0000_s7233"/>
                </a:ext>
                <a:ext uri="{FF2B5EF4-FFF2-40B4-BE49-F238E27FC236}">
                  <a16:creationId xmlns:a16="http://schemas.microsoft.com/office/drawing/2014/main" id="{00000000-0008-0000-0200-00004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161</xdr:row>
          <xdr:rowOff>9525</xdr:rowOff>
        </xdr:from>
        <xdr:to>
          <xdr:col>17</xdr:col>
          <xdr:colOff>171450</xdr:colOff>
          <xdr:row>162</xdr:row>
          <xdr:rowOff>9525</xdr:rowOff>
        </xdr:to>
        <xdr:sp macro="" textlink="">
          <xdr:nvSpPr>
            <xdr:cNvPr id="7234" name="CheckBox62" hidden="1">
              <a:extLst>
                <a:ext uri="{63B3BB69-23CF-44E3-9099-C40C66FF867C}">
                  <a14:compatExt spid="_x0000_s7234"/>
                </a:ext>
                <a:ext uri="{FF2B5EF4-FFF2-40B4-BE49-F238E27FC236}">
                  <a16:creationId xmlns:a16="http://schemas.microsoft.com/office/drawing/2014/main" id="{00000000-0008-0000-0200-00004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162</xdr:row>
          <xdr:rowOff>19050</xdr:rowOff>
        </xdr:from>
        <xdr:to>
          <xdr:col>17</xdr:col>
          <xdr:colOff>171450</xdr:colOff>
          <xdr:row>163</xdr:row>
          <xdr:rowOff>9525</xdr:rowOff>
        </xdr:to>
        <xdr:sp macro="" textlink="">
          <xdr:nvSpPr>
            <xdr:cNvPr id="7235" name="CheckBox63" hidden="1">
              <a:extLst>
                <a:ext uri="{63B3BB69-23CF-44E3-9099-C40C66FF867C}">
                  <a14:compatExt spid="_x0000_s7235"/>
                </a:ext>
                <a:ext uri="{FF2B5EF4-FFF2-40B4-BE49-F238E27FC236}">
                  <a16:creationId xmlns:a16="http://schemas.microsoft.com/office/drawing/2014/main" id="{00000000-0008-0000-0200-00004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12</xdr:row>
          <xdr:rowOff>47625</xdr:rowOff>
        </xdr:from>
        <xdr:to>
          <xdr:col>22</xdr:col>
          <xdr:colOff>57150</xdr:colOff>
          <xdr:row>14</xdr:row>
          <xdr:rowOff>200025</xdr:rowOff>
        </xdr:to>
        <xdr:sp macro="" textlink="">
          <xdr:nvSpPr>
            <xdr:cNvPr id="7236" name="ComboBox1" hidden="1">
              <a:extLst>
                <a:ext uri="{63B3BB69-23CF-44E3-9099-C40C66FF867C}">
                  <a14:compatExt spid="_x0000_s7236"/>
                </a:ext>
                <a:ext uri="{FF2B5EF4-FFF2-40B4-BE49-F238E27FC236}">
                  <a16:creationId xmlns:a16="http://schemas.microsoft.com/office/drawing/2014/main" id="{00000000-0008-0000-0200-00004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104775</xdr:rowOff>
        </xdr:from>
        <xdr:to>
          <xdr:col>10</xdr:col>
          <xdr:colOff>38101</xdr:colOff>
          <xdr:row>7</xdr:row>
          <xdr:rowOff>190500</xdr:rowOff>
        </xdr:to>
        <xdr:sp macro="" textlink="">
          <xdr:nvSpPr>
            <xdr:cNvPr id="7238" name="ComboBox2" hidden="1">
              <a:extLst>
                <a:ext uri="{63B3BB69-23CF-44E3-9099-C40C66FF867C}">
                  <a14:compatExt spid="_x0000_s7238"/>
                </a:ext>
                <a:ext uri="{FF2B5EF4-FFF2-40B4-BE49-F238E27FC236}">
                  <a16:creationId xmlns:a16="http://schemas.microsoft.com/office/drawing/2014/main" id="{00000000-0008-0000-0200-00004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</xdr:colOff>
      <xdr:row>0</xdr:row>
      <xdr:rowOff>34637</xdr:rowOff>
    </xdr:from>
    <xdr:to>
      <xdr:col>2</xdr:col>
      <xdr:colOff>378402</xdr:colOff>
      <xdr:row>1</xdr:row>
      <xdr:rowOff>284019</xdr:rowOff>
    </xdr:to>
    <xdr:pic>
      <xdr:nvPicPr>
        <xdr:cNvPr id="2" name="Picture 2" descr="SYSTAGENIX LO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77" y="34637"/>
          <a:ext cx="1317048" cy="5117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27</xdr:row>
          <xdr:rowOff>0</xdr:rowOff>
        </xdr:from>
        <xdr:to>
          <xdr:col>14</xdr:col>
          <xdr:colOff>495300</xdr:colOff>
          <xdr:row>28</xdr:row>
          <xdr:rowOff>28575</xdr:rowOff>
        </xdr:to>
        <xdr:sp macro="" textlink="">
          <xdr:nvSpPr>
            <xdr:cNvPr id="8194" name="ComboBox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3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53</xdr:row>
          <xdr:rowOff>0</xdr:rowOff>
        </xdr:from>
        <xdr:to>
          <xdr:col>14</xdr:col>
          <xdr:colOff>504825</xdr:colOff>
          <xdr:row>54</xdr:row>
          <xdr:rowOff>28575</xdr:rowOff>
        </xdr:to>
        <xdr:sp macro="" textlink="">
          <xdr:nvSpPr>
            <xdr:cNvPr id="8196" name="ComboBox2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3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51</xdr:row>
          <xdr:rowOff>0</xdr:rowOff>
        </xdr:from>
        <xdr:to>
          <xdr:col>14</xdr:col>
          <xdr:colOff>504825</xdr:colOff>
          <xdr:row>52</xdr:row>
          <xdr:rowOff>28575</xdr:rowOff>
        </xdr:to>
        <xdr:sp macro="" textlink="">
          <xdr:nvSpPr>
            <xdr:cNvPr id="8201" name="ComboBox7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3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49</xdr:row>
          <xdr:rowOff>0</xdr:rowOff>
        </xdr:from>
        <xdr:to>
          <xdr:col>14</xdr:col>
          <xdr:colOff>504825</xdr:colOff>
          <xdr:row>50</xdr:row>
          <xdr:rowOff>28575</xdr:rowOff>
        </xdr:to>
        <xdr:sp macro="" textlink="">
          <xdr:nvSpPr>
            <xdr:cNvPr id="8202" name="ComboBox8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47</xdr:row>
          <xdr:rowOff>0</xdr:rowOff>
        </xdr:from>
        <xdr:to>
          <xdr:col>14</xdr:col>
          <xdr:colOff>504825</xdr:colOff>
          <xdr:row>48</xdr:row>
          <xdr:rowOff>28575</xdr:rowOff>
        </xdr:to>
        <xdr:sp macro="" textlink="">
          <xdr:nvSpPr>
            <xdr:cNvPr id="8203" name="ComboBox9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3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0</xdr:rowOff>
        </xdr:from>
        <xdr:to>
          <xdr:col>14</xdr:col>
          <xdr:colOff>504825</xdr:colOff>
          <xdr:row>46</xdr:row>
          <xdr:rowOff>28575</xdr:rowOff>
        </xdr:to>
        <xdr:sp macro="" textlink="">
          <xdr:nvSpPr>
            <xdr:cNvPr id="8204" name="ComboBox10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3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43</xdr:row>
          <xdr:rowOff>0</xdr:rowOff>
        </xdr:from>
        <xdr:to>
          <xdr:col>14</xdr:col>
          <xdr:colOff>504825</xdr:colOff>
          <xdr:row>44</xdr:row>
          <xdr:rowOff>28575</xdr:rowOff>
        </xdr:to>
        <xdr:sp macro="" textlink="">
          <xdr:nvSpPr>
            <xdr:cNvPr id="8205" name="ComboBox11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3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41</xdr:row>
          <xdr:rowOff>0</xdr:rowOff>
        </xdr:from>
        <xdr:to>
          <xdr:col>14</xdr:col>
          <xdr:colOff>504825</xdr:colOff>
          <xdr:row>42</xdr:row>
          <xdr:rowOff>28575</xdr:rowOff>
        </xdr:to>
        <xdr:sp macro="" textlink="">
          <xdr:nvSpPr>
            <xdr:cNvPr id="8206" name="ComboBox12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3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39</xdr:row>
          <xdr:rowOff>0</xdr:rowOff>
        </xdr:from>
        <xdr:to>
          <xdr:col>14</xdr:col>
          <xdr:colOff>504825</xdr:colOff>
          <xdr:row>40</xdr:row>
          <xdr:rowOff>28575</xdr:rowOff>
        </xdr:to>
        <xdr:sp macro="" textlink="">
          <xdr:nvSpPr>
            <xdr:cNvPr id="8207" name="ComboBox13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3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37</xdr:row>
          <xdr:rowOff>0</xdr:rowOff>
        </xdr:from>
        <xdr:to>
          <xdr:col>14</xdr:col>
          <xdr:colOff>504825</xdr:colOff>
          <xdr:row>38</xdr:row>
          <xdr:rowOff>28575</xdr:rowOff>
        </xdr:to>
        <xdr:sp macro="" textlink="">
          <xdr:nvSpPr>
            <xdr:cNvPr id="8208" name="ComboBox14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3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35</xdr:row>
          <xdr:rowOff>0</xdr:rowOff>
        </xdr:from>
        <xdr:to>
          <xdr:col>14</xdr:col>
          <xdr:colOff>504825</xdr:colOff>
          <xdr:row>36</xdr:row>
          <xdr:rowOff>28575</xdr:rowOff>
        </xdr:to>
        <xdr:sp macro="" textlink="">
          <xdr:nvSpPr>
            <xdr:cNvPr id="8209" name="ComboBox15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3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33</xdr:row>
          <xdr:rowOff>0</xdr:rowOff>
        </xdr:from>
        <xdr:to>
          <xdr:col>14</xdr:col>
          <xdr:colOff>504825</xdr:colOff>
          <xdr:row>34</xdr:row>
          <xdr:rowOff>28575</xdr:rowOff>
        </xdr:to>
        <xdr:sp macro="" textlink="">
          <xdr:nvSpPr>
            <xdr:cNvPr id="8210" name="ComboBox16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3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31</xdr:row>
          <xdr:rowOff>0</xdr:rowOff>
        </xdr:from>
        <xdr:to>
          <xdr:col>14</xdr:col>
          <xdr:colOff>504825</xdr:colOff>
          <xdr:row>32</xdr:row>
          <xdr:rowOff>28575</xdr:rowOff>
        </xdr:to>
        <xdr:sp macro="" textlink="">
          <xdr:nvSpPr>
            <xdr:cNvPr id="8211" name="ComboBox17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3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29</xdr:row>
          <xdr:rowOff>0</xdr:rowOff>
        </xdr:from>
        <xdr:to>
          <xdr:col>14</xdr:col>
          <xdr:colOff>504825</xdr:colOff>
          <xdr:row>30</xdr:row>
          <xdr:rowOff>28575</xdr:rowOff>
        </xdr:to>
        <xdr:sp macro="" textlink="">
          <xdr:nvSpPr>
            <xdr:cNvPr id="8212" name="ComboBox18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3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21</xdr:row>
          <xdr:rowOff>47625</xdr:rowOff>
        </xdr:from>
        <xdr:to>
          <xdr:col>12</xdr:col>
          <xdr:colOff>200025</xdr:colOff>
          <xdr:row>25</xdr:row>
          <xdr:rowOff>9525</xdr:rowOff>
        </xdr:to>
        <xdr:sp macro="" textlink="">
          <xdr:nvSpPr>
            <xdr:cNvPr id="8213" name="Button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3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Items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8" cy="71438"/>
    <xdr:sp macro="" textlink="">
      <xdr:nvSpPr>
        <xdr:cNvPr id="2" name="HideTemplatePointer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7638" cy="7143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 fPrint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534" totalsRowShown="0" headerRowDxfId="20" dataDxfId="19">
  <autoFilter ref="A1:K534" xr:uid="{00000000-0009-0000-0100-000001000000}"/>
  <sortState xmlns:xlrd2="http://schemas.microsoft.com/office/spreadsheetml/2017/richdata2" ref="A2:J513">
    <sortCondition ref="J1:J513"/>
  </sortState>
  <tableColumns count="11">
    <tableColumn id="1" xr3:uid="{00000000-0010-0000-0000-000001000000}" name="RowID" dataDxfId="18"/>
    <tableColumn id="2" xr3:uid="{00000000-0010-0000-0000-000002000000}" name="Sheet" dataDxfId="17"/>
    <tableColumn id="3" xr3:uid="{00000000-0010-0000-0000-000003000000}" name="DataGroup" dataDxfId="16"/>
    <tableColumn id="4" xr3:uid="{00000000-0010-0000-0000-000004000000}" name="Label" dataDxfId="15"/>
    <tableColumn id="5" xr3:uid="{00000000-0010-0000-0000-000005000000}" name="Value" dataDxfId="14"/>
    <tableColumn id="6" xr3:uid="{00000000-0010-0000-0000-000006000000}" name="Location" dataDxfId="13"/>
    <tableColumn id="8" xr3:uid="{00000000-0010-0000-0000-000008000000}" name="DataType" dataDxfId="12"/>
    <tableColumn id="11" xr3:uid="{00000000-0010-0000-0000-00000B000000}" name="MinLength" dataDxfId="11"/>
    <tableColumn id="10" xr3:uid="{00000000-0010-0000-0000-00000A000000}" name="MaxLength" dataDxfId="10"/>
    <tableColumn id="9" xr3:uid="{00000000-0010-0000-0000-000009000000}" name="IsCompulsory" dataDxfId="9"/>
    <tableColumn id="14" xr3:uid="{00000000-0010-0000-0000-00000E000000}" name="IsEnabled" dataDxfId="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5" displayName="Table5" ref="A1:D120" totalsRowShown="0" headerRowDxfId="7" dataDxfId="6" tableBorderDxfId="5">
  <autoFilter ref="A1:D120" xr:uid="{00000000-0009-0000-0100-000005000000}"/>
  <tableColumns count="4">
    <tableColumn id="1" xr3:uid="{00000000-0010-0000-0100-000001000000}" name="Description" dataDxfId="4"/>
    <tableColumn id="2" xr3:uid="{00000000-0010-0000-0100-000002000000}" name="ProductCode" dataDxfId="1"/>
    <tableColumn id="3" xr3:uid="{00000000-0010-0000-0100-000003000000}" name="StockListID" dataDxfId="3"/>
    <tableColumn id="4" xr3:uid="{00000000-0010-0000-0100-000004000000}" name="OrderSequence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57.emf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63" Type="http://schemas.openxmlformats.org/officeDocument/2006/relationships/image" Target="../media/image30.emf"/><Relationship Id="rId84" Type="http://schemas.openxmlformats.org/officeDocument/2006/relationships/control" Target="../activeX/activeX41.xml"/><Relationship Id="rId138" Type="http://schemas.openxmlformats.org/officeDocument/2006/relationships/control" Target="../activeX/activeX68.xml"/><Relationship Id="rId159" Type="http://schemas.openxmlformats.org/officeDocument/2006/relationships/image" Target="../media/image78.emf"/><Relationship Id="rId107" Type="http://schemas.openxmlformats.org/officeDocument/2006/relationships/image" Target="../media/image52.emf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53" Type="http://schemas.openxmlformats.org/officeDocument/2006/relationships/image" Target="../media/image25.emf"/><Relationship Id="rId74" Type="http://schemas.openxmlformats.org/officeDocument/2006/relationships/control" Target="../activeX/activeX36.xml"/><Relationship Id="rId128" Type="http://schemas.openxmlformats.org/officeDocument/2006/relationships/control" Target="../activeX/activeX63.xml"/><Relationship Id="rId149" Type="http://schemas.openxmlformats.org/officeDocument/2006/relationships/image" Target="../media/image73.emf"/><Relationship Id="rId5" Type="http://schemas.openxmlformats.org/officeDocument/2006/relationships/image" Target="../media/image1.emf"/><Relationship Id="rId95" Type="http://schemas.openxmlformats.org/officeDocument/2006/relationships/image" Target="../media/image46.emf"/><Relationship Id="rId160" Type="http://schemas.openxmlformats.org/officeDocument/2006/relationships/control" Target="../activeX/activeX79.xml"/><Relationship Id="rId22" Type="http://schemas.openxmlformats.org/officeDocument/2006/relationships/control" Target="../activeX/activeX10.xml"/><Relationship Id="rId43" Type="http://schemas.openxmlformats.org/officeDocument/2006/relationships/image" Target="../media/image20.emf"/><Relationship Id="rId64" Type="http://schemas.openxmlformats.org/officeDocument/2006/relationships/control" Target="../activeX/activeX31.xml"/><Relationship Id="rId118" Type="http://schemas.openxmlformats.org/officeDocument/2006/relationships/control" Target="../activeX/activeX58.xml"/><Relationship Id="rId139" Type="http://schemas.openxmlformats.org/officeDocument/2006/relationships/image" Target="../media/image68.emf"/><Relationship Id="rId85" Type="http://schemas.openxmlformats.org/officeDocument/2006/relationships/image" Target="../media/image41.emf"/><Relationship Id="rId150" Type="http://schemas.openxmlformats.org/officeDocument/2006/relationships/control" Target="../activeX/activeX74.x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image" Target="../media/image50.emf"/><Relationship Id="rId108" Type="http://schemas.openxmlformats.org/officeDocument/2006/relationships/control" Target="../activeX/activeX53.xml"/><Relationship Id="rId124" Type="http://schemas.openxmlformats.org/officeDocument/2006/relationships/control" Target="../activeX/activeX61.xml"/><Relationship Id="rId129" Type="http://schemas.openxmlformats.org/officeDocument/2006/relationships/image" Target="../media/image63.emf"/><Relationship Id="rId54" Type="http://schemas.openxmlformats.org/officeDocument/2006/relationships/control" Target="../activeX/activeX26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40" Type="http://schemas.openxmlformats.org/officeDocument/2006/relationships/control" Target="../activeX/activeX69.xml"/><Relationship Id="rId145" Type="http://schemas.openxmlformats.org/officeDocument/2006/relationships/image" Target="../media/image71.emf"/><Relationship Id="rId161" Type="http://schemas.openxmlformats.org/officeDocument/2006/relationships/image" Target="../media/image79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49" Type="http://schemas.openxmlformats.org/officeDocument/2006/relationships/image" Target="../media/image23.emf"/><Relationship Id="rId114" Type="http://schemas.openxmlformats.org/officeDocument/2006/relationships/control" Target="../activeX/activeX56.xml"/><Relationship Id="rId119" Type="http://schemas.openxmlformats.org/officeDocument/2006/relationships/image" Target="../media/image58.emf"/><Relationship Id="rId44" Type="http://schemas.openxmlformats.org/officeDocument/2006/relationships/control" Target="../activeX/activeX21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130" Type="http://schemas.openxmlformats.org/officeDocument/2006/relationships/control" Target="../activeX/activeX64.xml"/><Relationship Id="rId135" Type="http://schemas.openxmlformats.org/officeDocument/2006/relationships/image" Target="../media/image66.emf"/><Relationship Id="rId151" Type="http://schemas.openxmlformats.org/officeDocument/2006/relationships/image" Target="../media/image74.emf"/><Relationship Id="rId156" Type="http://schemas.openxmlformats.org/officeDocument/2006/relationships/control" Target="../activeX/activeX77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image" Target="../media/image53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104" Type="http://schemas.openxmlformats.org/officeDocument/2006/relationships/control" Target="../activeX/activeX51.xml"/><Relationship Id="rId120" Type="http://schemas.openxmlformats.org/officeDocument/2006/relationships/control" Target="../activeX/activeX59.xml"/><Relationship Id="rId125" Type="http://schemas.openxmlformats.org/officeDocument/2006/relationships/image" Target="../media/image61.emf"/><Relationship Id="rId141" Type="http://schemas.openxmlformats.org/officeDocument/2006/relationships/image" Target="../media/image69.emf"/><Relationship Id="rId146" Type="http://schemas.openxmlformats.org/officeDocument/2006/relationships/control" Target="../activeX/activeX72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162" Type="http://schemas.openxmlformats.org/officeDocument/2006/relationships/control" Target="../activeX/activeX80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110" Type="http://schemas.openxmlformats.org/officeDocument/2006/relationships/control" Target="../activeX/activeX54.xml"/><Relationship Id="rId115" Type="http://schemas.openxmlformats.org/officeDocument/2006/relationships/image" Target="../media/image56.emf"/><Relationship Id="rId131" Type="http://schemas.openxmlformats.org/officeDocument/2006/relationships/image" Target="../media/image64.emf"/><Relationship Id="rId136" Type="http://schemas.openxmlformats.org/officeDocument/2006/relationships/control" Target="../activeX/activeX67.xml"/><Relationship Id="rId157" Type="http://schemas.openxmlformats.org/officeDocument/2006/relationships/image" Target="../media/image77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52" Type="http://schemas.openxmlformats.org/officeDocument/2006/relationships/control" Target="../activeX/activeX75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105" Type="http://schemas.openxmlformats.org/officeDocument/2006/relationships/image" Target="../media/image51.emf"/><Relationship Id="rId126" Type="http://schemas.openxmlformats.org/officeDocument/2006/relationships/control" Target="../activeX/activeX62.xml"/><Relationship Id="rId147" Type="http://schemas.openxmlformats.org/officeDocument/2006/relationships/image" Target="../media/image72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image" Target="../media/image45.emf"/><Relationship Id="rId98" Type="http://schemas.openxmlformats.org/officeDocument/2006/relationships/control" Target="../activeX/activeX48.xml"/><Relationship Id="rId121" Type="http://schemas.openxmlformats.org/officeDocument/2006/relationships/image" Target="../media/image59.emf"/><Relationship Id="rId142" Type="http://schemas.openxmlformats.org/officeDocument/2006/relationships/control" Target="../activeX/activeX70.xml"/><Relationship Id="rId163" Type="http://schemas.openxmlformats.org/officeDocument/2006/relationships/image" Target="../media/image80.emf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Relationship Id="rId116" Type="http://schemas.openxmlformats.org/officeDocument/2006/relationships/control" Target="../activeX/activeX57.xml"/><Relationship Id="rId137" Type="http://schemas.openxmlformats.org/officeDocument/2006/relationships/image" Target="../media/image67.emf"/><Relationship Id="rId158" Type="http://schemas.openxmlformats.org/officeDocument/2006/relationships/control" Target="../activeX/activeX78.xml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62" Type="http://schemas.openxmlformats.org/officeDocument/2006/relationships/control" Target="../activeX/activeX30.xml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111" Type="http://schemas.openxmlformats.org/officeDocument/2006/relationships/image" Target="../media/image54.emf"/><Relationship Id="rId132" Type="http://schemas.openxmlformats.org/officeDocument/2006/relationships/control" Target="../activeX/activeX65.xml"/><Relationship Id="rId153" Type="http://schemas.openxmlformats.org/officeDocument/2006/relationships/image" Target="../media/image75.emf"/><Relationship Id="rId15" Type="http://schemas.openxmlformats.org/officeDocument/2006/relationships/image" Target="../media/image6.emf"/><Relationship Id="rId36" Type="http://schemas.openxmlformats.org/officeDocument/2006/relationships/control" Target="../activeX/activeX17.xml"/><Relationship Id="rId57" Type="http://schemas.openxmlformats.org/officeDocument/2006/relationships/image" Target="../media/image27.emf"/><Relationship Id="rId106" Type="http://schemas.openxmlformats.org/officeDocument/2006/relationships/control" Target="../activeX/activeX52.xml"/><Relationship Id="rId127" Type="http://schemas.openxmlformats.org/officeDocument/2006/relationships/image" Target="../media/image62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52" Type="http://schemas.openxmlformats.org/officeDocument/2006/relationships/control" Target="../activeX/activeX25.xml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94" Type="http://schemas.openxmlformats.org/officeDocument/2006/relationships/control" Target="../activeX/activeX46.xml"/><Relationship Id="rId99" Type="http://schemas.openxmlformats.org/officeDocument/2006/relationships/image" Target="../media/image48.emf"/><Relationship Id="rId101" Type="http://schemas.openxmlformats.org/officeDocument/2006/relationships/image" Target="../media/image49.emf"/><Relationship Id="rId122" Type="http://schemas.openxmlformats.org/officeDocument/2006/relationships/control" Target="../activeX/activeX60.xml"/><Relationship Id="rId143" Type="http://schemas.openxmlformats.org/officeDocument/2006/relationships/image" Target="../media/image70.emf"/><Relationship Id="rId148" Type="http://schemas.openxmlformats.org/officeDocument/2006/relationships/control" Target="../activeX/activeX73.xml"/><Relationship Id="rId164" Type="http://schemas.openxmlformats.org/officeDocument/2006/relationships/control" Target="../activeX/activeX8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26" Type="http://schemas.openxmlformats.org/officeDocument/2006/relationships/control" Target="../activeX/activeX12.xml"/><Relationship Id="rId47" Type="http://schemas.openxmlformats.org/officeDocument/2006/relationships/image" Target="../media/image22.emf"/><Relationship Id="rId68" Type="http://schemas.openxmlformats.org/officeDocument/2006/relationships/control" Target="../activeX/activeX33.xml"/><Relationship Id="rId89" Type="http://schemas.openxmlformats.org/officeDocument/2006/relationships/image" Target="../media/image43.emf"/><Relationship Id="rId112" Type="http://schemas.openxmlformats.org/officeDocument/2006/relationships/control" Target="../activeX/activeX55.xml"/><Relationship Id="rId133" Type="http://schemas.openxmlformats.org/officeDocument/2006/relationships/image" Target="../media/image65.emf"/><Relationship Id="rId154" Type="http://schemas.openxmlformats.org/officeDocument/2006/relationships/control" Target="../activeX/activeX76.xml"/><Relationship Id="rId16" Type="http://schemas.openxmlformats.org/officeDocument/2006/relationships/control" Target="../activeX/activeX7.xml"/><Relationship Id="rId37" Type="http://schemas.openxmlformats.org/officeDocument/2006/relationships/image" Target="../media/image17.emf"/><Relationship Id="rId58" Type="http://schemas.openxmlformats.org/officeDocument/2006/relationships/control" Target="../activeX/activeX28.xml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123" Type="http://schemas.openxmlformats.org/officeDocument/2006/relationships/image" Target="../media/image60.emf"/><Relationship Id="rId144" Type="http://schemas.openxmlformats.org/officeDocument/2006/relationships/control" Target="../activeX/activeX71.xml"/><Relationship Id="rId90" Type="http://schemas.openxmlformats.org/officeDocument/2006/relationships/control" Target="../activeX/activeX44.xml"/><Relationship Id="rId165" Type="http://schemas.openxmlformats.org/officeDocument/2006/relationships/image" Target="../media/image81.emf"/><Relationship Id="rId27" Type="http://schemas.openxmlformats.org/officeDocument/2006/relationships/image" Target="../media/image12.emf"/><Relationship Id="rId48" Type="http://schemas.openxmlformats.org/officeDocument/2006/relationships/control" Target="../activeX/activeX23.xml"/><Relationship Id="rId69" Type="http://schemas.openxmlformats.org/officeDocument/2006/relationships/image" Target="../media/image33.emf"/><Relationship Id="rId113" Type="http://schemas.openxmlformats.org/officeDocument/2006/relationships/image" Target="../media/image55.emf"/><Relationship Id="rId134" Type="http://schemas.openxmlformats.org/officeDocument/2006/relationships/control" Target="../activeX/activeX66.xml"/><Relationship Id="rId80" Type="http://schemas.openxmlformats.org/officeDocument/2006/relationships/control" Target="../activeX/activeX39.xml"/><Relationship Id="rId155" Type="http://schemas.openxmlformats.org/officeDocument/2006/relationships/image" Target="../media/image76.emf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39.emf"/><Relationship Id="rId21" Type="http://schemas.openxmlformats.org/officeDocument/2006/relationships/image" Target="../media/image91.emf"/><Relationship Id="rId42" Type="http://schemas.openxmlformats.org/officeDocument/2006/relationships/control" Target="../activeX/activeX101.xml"/><Relationship Id="rId63" Type="http://schemas.openxmlformats.org/officeDocument/2006/relationships/image" Target="../media/image112.emf"/><Relationship Id="rId84" Type="http://schemas.openxmlformats.org/officeDocument/2006/relationships/control" Target="../activeX/activeX122.xml"/><Relationship Id="rId16" Type="http://schemas.openxmlformats.org/officeDocument/2006/relationships/control" Target="../activeX/activeX88.xml"/><Relationship Id="rId107" Type="http://schemas.openxmlformats.org/officeDocument/2006/relationships/image" Target="../media/image134.emf"/><Relationship Id="rId11" Type="http://schemas.openxmlformats.org/officeDocument/2006/relationships/image" Target="../media/image86.emf"/><Relationship Id="rId32" Type="http://schemas.openxmlformats.org/officeDocument/2006/relationships/control" Target="../activeX/activeX96.xml"/><Relationship Id="rId37" Type="http://schemas.openxmlformats.org/officeDocument/2006/relationships/image" Target="../media/image99.emf"/><Relationship Id="rId53" Type="http://schemas.openxmlformats.org/officeDocument/2006/relationships/image" Target="../media/image107.emf"/><Relationship Id="rId58" Type="http://schemas.openxmlformats.org/officeDocument/2006/relationships/control" Target="../activeX/activeX109.xml"/><Relationship Id="rId74" Type="http://schemas.openxmlformats.org/officeDocument/2006/relationships/control" Target="../activeX/activeX117.xml"/><Relationship Id="rId79" Type="http://schemas.openxmlformats.org/officeDocument/2006/relationships/image" Target="../media/image120.emf"/><Relationship Id="rId102" Type="http://schemas.openxmlformats.org/officeDocument/2006/relationships/control" Target="../activeX/activeX131.xml"/><Relationship Id="rId123" Type="http://schemas.openxmlformats.org/officeDocument/2006/relationships/image" Target="../media/image142.emf"/><Relationship Id="rId128" Type="http://schemas.openxmlformats.org/officeDocument/2006/relationships/control" Target="../activeX/activeX144.xml"/><Relationship Id="rId5" Type="http://schemas.openxmlformats.org/officeDocument/2006/relationships/image" Target="../media/image83.emf"/><Relationship Id="rId90" Type="http://schemas.openxmlformats.org/officeDocument/2006/relationships/control" Target="../activeX/activeX125.xml"/><Relationship Id="rId95" Type="http://schemas.openxmlformats.org/officeDocument/2006/relationships/image" Target="../media/image128.emf"/><Relationship Id="rId22" Type="http://schemas.openxmlformats.org/officeDocument/2006/relationships/control" Target="../activeX/activeX91.xml"/><Relationship Id="rId27" Type="http://schemas.openxmlformats.org/officeDocument/2006/relationships/image" Target="../media/image94.emf"/><Relationship Id="rId43" Type="http://schemas.openxmlformats.org/officeDocument/2006/relationships/image" Target="../media/image102.emf"/><Relationship Id="rId48" Type="http://schemas.openxmlformats.org/officeDocument/2006/relationships/control" Target="../activeX/activeX104.xml"/><Relationship Id="rId64" Type="http://schemas.openxmlformats.org/officeDocument/2006/relationships/control" Target="../activeX/activeX112.xml"/><Relationship Id="rId69" Type="http://schemas.openxmlformats.org/officeDocument/2006/relationships/image" Target="../media/image115.emf"/><Relationship Id="rId113" Type="http://schemas.openxmlformats.org/officeDocument/2006/relationships/image" Target="../media/image137.emf"/><Relationship Id="rId118" Type="http://schemas.openxmlformats.org/officeDocument/2006/relationships/control" Target="../activeX/activeX139.xml"/><Relationship Id="rId80" Type="http://schemas.openxmlformats.org/officeDocument/2006/relationships/control" Target="../activeX/activeX120.xml"/><Relationship Id="rId85" Type="http://schemas.openxmlformats.org/officeDocument/2006/relationships/image" Target="../media/image123.emf"/><Relationship Id="rId12" Type="http://schemas.openxmlformats.org/officeDocument/2006/relationships/control" Target="../activeX/activeX86.xml"/><Relationship Id="rId17" Type="http://schemas.openxmlformats.org/officeDocument/2006/relationships/image" Target="../media/image89.emf"/><Relationship Id="rId33" Type="http://schemas.openxmlformats.org/officeDocument/2006/relationships/image" Target="../media/image97.emf"/><Relationship Id="rId38" Type="http://schemas.openxmlformats.org/officeDocument/2006/relationships/control" Target="../activeX/activeX99.xml"/><Relationship Id="rId59" Type="http://schemas.openxmlformats.org/officeDocument/2006/relationships/image" Target="../media/image110.emf"/><Relationship Id="rId103" Type="http://schemas.openxmlformats.org/officeDocument/2006/relationships/image" Target="../media/image132.emf"/><Relationship Id="rId108" Type="http://schemas.openxmlformats.org/officeDocument/2006/relationships/control" Target="../activeX/activeX134.xml"/><Relationship Id="rId124" Type="http://schemas.openxmlformats.org/officeDocument/2006/relationships/control" Target="../activeX/activeX142.xml"/><Relationship Id="rId129" Type="http://schemas.openxmlformats.org/officeDocument/2006/relationships/image" Target="../media/image145.emf"/><Relationship Id="rId54" Type="http://schemas.openxmlformats.org/officeDocument/2006/relationships/control" Target="../activeX/activeX107.xml"/><Relationship Id="rId70" Type="http://schemas.openxmlformats.org/officeDocument/2006/relationships/control" Target="../activeX/activeX115.xml"/><Relationship Id="rId75" Type="http://schemas.openxmlformats.org/officeDocument/2006/relationships/image" Target="../media/image118.emf"/><Relationship Id="rId91" Type="http://schemas.openxmlformats.org/officeDocument/2006/relationships/image" Target="../media/image126.emf"/><Relationship Id="rId96" Type="http://schemas.openxmlformats.org/officeDocument/2006/relationships/control" Target="../activeX/activeX128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3.xml"/><Relationship Id="rId23" Type="http://schemas.openxmlformats.org/officeDocument/2006/relationships/image" Target="../media/image92.emf"/><Relationship Id="rId28" Type="http://schemas.openxmlformats.org/officeDocument/2006/relationships/control" Target="../activeX/activeX94.xml"/><Relationship Id="rId49" Type="http://schemas.openxmlformats.org/officeDocument/2006/relationships/image" Target="../media/image105.emf"/><Relationship Id="rId114" Type="http://schemas.openxmlformats.org/officeDocument/2006/relationships/control" Target="../activeX/activeX137.xml"/><Relationship Id="rId119" Type="http://schemas.openxmlformats.org/officeDocument/2006/relationships/image" Target="../media/image140.emf"/><Relationship Id="rId44" Type="http://schemas.openxmlformats.org/officeDocument/2006/relationships/control" Target="../activeX/activeX102.xml"/><Relationship Id="rId60" Type="http://schemas.openxmlformats.org/officeDocument/2006/relationships/control" Target="../activeX/activeX110.xml"/><Relationship Id="rId65" Type="http://schemas.openxmlformats.org/officeDocument/2006/relationships/image" Target="../media/image113.emf"/><Relationship Id="rId81" Type="http://schemas.openxmlformats.org/officeDocument/2006/relationships/image" Target="../media/image121.emf"/><Relationship Id="rId86" Type="http://schemas.openxmlformats.org/officeDocument/2006/relationships/control" Target="../activeX/activeX123.xml"/><Relationship Id="rId130" Type="http://schemas.openxmlformats.org/officeDocument/2006/relationships/control" Target="../activeX/activeX145.xml"/><Relationship Id="rId13" Type="http://schemas.openxmlformats.org/officeDocument/2006/relationships/image" Target="../media/image87.emf"/><Relationship Id="rId18" Type="http://schemas.openxmlformats.org/officeDocument/2006/relationships/control" Target="../activeX/activeX89.xml"/><Relationship Id="rId39" Type="http://schemas.openxmlformats.org/officeDocument/2006/relationships/image" Target="../media/image100.emf"/><Relationship Id="rId109" Type="http://schemas.openxmlformats.org/officeDocument/2006/relationships/image" Target="../media/image135.emf"/><Relationship Id="rId34" Type="http://schemas.openxmlformats.org/officeDocument/2006/relationships/control" Target="../activeX/activeX97.xml"/><Relationship Id="rId50" Type="http://schemas.openxmlformats.org/officeDocument/2006/relationships/control" Target="../activeX/activeX105.xml"/><Relationship Id="rId55" Type="http://schemas.openxmlformats.org/officeDocument/2006/relationships/image" Target="../media/image108.emf"/><Relationship Id="rId76" Type="http://schemas.openxmlformats.org/officeDocument/2006/relationships/control" Target="../activeX/activeX118.xml"/><Relationship Id="rId97" Type="http://schemas.openxmlformats.org/officeDocument/2006/relationships/image" Target="../media/image129.emf"/><Relationship Id="rId104" Type="http://schemas.openxmlformats.org/officeDocument/2006/relationships/control" Target="../activeX/activeX132.xml"/><Relationship Id="rId120" Type="http://schemas.openxmlformats.org/officeDocument/2006/relationships/control" Target="../activeX/activeX140.xml"/><Relationship Id="rId125" Type="http://schemas.openxmlformats.org/officeDocument/2006/relationships/image" Target="../media/image143.emf"/><Relationship Id="rId7" Type="http://schemas.openxmlformats.org/officeDocument/2006/relationships/image" Target="../media/image84.emf"/><Relationship Id="rId71" Type="http://schemas.openxmlformats.org/officeDocument/2006/relationships/image" Target="../media/image116.emf"/><Relationship Id="rId92" Type="http://schemas.openxmlformats.org/officeDocument/2006/relationships/control" Target="../activeX/activeX126.xml"/><Relationship Id="rId2" Type="http://schemas.openxmlformats.org/officeDocument/2006/relationships/drawing" Target="../drawings/drawing2.xml"/><Relationship Id="rId29" Type="http://schemas.openxmlformats.org/officeDocument/2006/relationships/image" Target="../media/image95.emf"/><Relationship Id="rId24" Type="http://schemas.openxmlformats.org/officeDocument/2006/relationships/control" Target="../activeX/activeX92.xml"/><Relationship Id="rId40" Type="http://schemas.openxmlformats.org/officeDocument/2006/relationships/control" Target="../activeX/activeX100.xml"/><Relationship Id="rId45" Type="http://schemas.openxmlformats.org/officeDocument/2006/relationships/image" Target="../media/image103.emf"/><Relationship Id="rId66" Type="http://schemas.openxmlformats.org/officeDocument/2006/relationships/control" Target="../activeX/activeX113.xml"/><Relationship Id="rId87" Type="http://schemas.openxmlformats.org/officeDocument/2006/relationships/image" Target="../media/image124.emf"/><Relationship Id="rId110" Type="http://schemas.openxmlformats.org/officeDocument/2006/relationships/control" Target="../activeX/activeX135.xml"/><Relationship Id="rId115" Type="http://schemas.openxmlformats.org/officeDocument/2006/relationships/image" Target="../media/image138.emf"/><Relationship Id="rId131" Type="http://schemas.openxmlformats.org/officeDocument/2006/relationships/image" Target="../media/image146.emf"/><Relationship Id="rId61" Type="http://schemas.openxmlformats.org/officeDocument/2006/relationships/image" Target="../media/image111.emf"/><Relationship Id="rId82" Type="http://schemas.openxmlformats.org/officeDocument/2006/relationships/control" Target="../activeX/activeX121.xml"/><Relationship Id="rId19" Type="http://schemas.openxmlformats.org/officeDocument/2006/relationships/image" Target="../media/image90.emf"/><Relationship Id="rId14" Type="http://schemas.openxmlformats.org/officeDocument/2006/relationships/control" Target="../activeX/activeX87.xml"/><Relationship Id="rId30" Type="http://schemas.openxmlformats.org/officeDocument/2006/relationships/control" Target="../activeX/activeX95.xml"/><Relationship Id="rId35" Type="http://schemas.openxmlformats.org/officeDocument/2006/relationships/image" Target="../media/image98.emf"/><Relationship Id="rId56" Type="http://schemas.openxmlformats.org/officeDocument/2006/relationships/control" Target="../activeX/activeX108.xml"/><Relationship Id="rId77" Type="http://schemas.openxmlformats.org/officeDocument/2006/relationships/image" Target="../media/image119.emf"/><Relationship Id="rId100" Type="http://schemas.openxmlformats.org/officeDocument/2006/relationships/control" Target="../activeX/activeX130.xml"/><Relationship Id="rId105" Type="http://schemas.openxmlformats.org/officeDocument/2006/relationships/image" Target="../media/image133.emf"/><Relationship Id="rId126" Type="http://schemas.openxmlformats.org/officeDocument/2006/relationships/control" Target="../activeX/activeX143.xml"/><Relationship Id="rId8" Type="http://schemas.openxmlformats.org/officeDocument/2006/relationships/control" Target="../activeX/activeX84.xml"/><Relationship Id="rId51" Type="http://schemas.openxmlformats.org/officeDocument/2006/relationships/image" Target="../media/image106.emf"/><Relationship Id="rId72" Type="http://schemas.openxmlformats.org/officeDocument/2006/relationships/control" Target="../activeX/activeX116.xml"/><Relationship Id="rId93" Type="http://schemas.openxmlformats.org/officeDocument/2006/relationships/image" Target="../media/image127.emf"/><Relationship Id="rId98" Type="http://schemas.openxmlformats.org/officeDocument/2006/relationships/control" Target="../activeX/activeX129.xml"/><Relationship Id="rId121" Type="http://schemas.openxmlformats.org/officeDocument/2006/relationships/image" Target="../media/image141.emf"/><Relationship Id="rId3" Type="http://schemas.openxmlformats.org/officeDocument/2006/relationships/vmlDrawing" Target="../drawings/vmlDrawing2.vml"/><Relationship Id="rId25" Type="http://schemas.openxmlformats.org/officeDocument/2006/relationships/image" Target="../media/image93.emf"/><Relationship Id="rId46" Type="http://schemas.openxmlformats.org/officeDocument/2006/relationships/control" Target="../activeX/activeX103.xml"/><Relationship Id="rId67" Type="http://schemas.openxmlformats.org/officeDocument/2006/relationships/image" Target="../media/image114.emf"/><Relationship Id="rId116" Type="http://schemas.openxmlformats.org/officeDocument/2006/relationships/control" Target="../activeX/activeX138.xml"/><Relationship Id="rId20" Type="http://schemas.openxmlformats.org/officeDocument/2006/relationships/control" Target="../activeX/activeX90.xml"/><Relationship Id="rId41" Type="http://schemas.openxmlformats.org/officeDocument/2006/relationships/image" Target="../media/image101.emf"/><Relationship Id="rId62" Type="http://schemas.openxmlformats.org/officeDocument/2006/relationships/control" Target="../activeX/activeX111.xml"/><Relationship Id="rId83" Type="http://schemas.openxmlformats.org/officeDocument/2006/relationships/image" Target="../media/image122.emf"/><Relationship Id="rId88" Type="http://schemas.openxmlformats.org/officeDocument/2006/relationships/control" Target="../activeX/activeX124.xml"/><Relationship Id="rId111" Type="http://schemas.openxmlformats.org/officeDocument/2006/relationships/image" Target="../media/image136.emf"/><Relationship Id="rId132" Type="http://schemas.openxmlformats.org/officeDocument/2006/relationships/control" Target="../activeX/activeX146.xml"/><Relationship Id="rId15" Type="http://schemas.openxmlformats.org/officeDocument/2006/relationships/image" Target="../media/image88.emf"/><Relationship Id="rId36" Type="http://schemas.openxmlformats.org/officeDocument/2006/relationships/control" Target="../activeX/activeX98.xml"/><Relationship Id="rId57" Type="http://schemas.openxmlformats.org/officeDocument/2006/relationships/image" Target="../media/image109.emf"/><Relationship Id="rId106" Type="http://schemas.openxmlformats.org/officeDocument/2006/relationships/control" Target="../activeX/activeX133.xml"/><Relationship Id="rId127" Type="http://schemas.openxmlformats.org/officeDocument/2006/relationships/image" Target="../media/image144.emf"/><Relationship Id="rId10" Type="http://schemas.openxmlformats.org/officeDocument/2006/relationships/control" Target="../activeX/activeX85.xml"/><Relationship Id="rId31" Type="http://schemas.openxmlformats.org/officeDocument/2006/relationships/image" Target="../media/image96.emf"/><Relationship Id="rId52" Type="http://schemas.openxmlformats.org/officeDocument/2006/relationships/control" Target="../activeX/activeX106.xml"/><Relationship Id="rId73" Type="http://schemas.openxmlformats.org/officeDocument/2006/relationships/image" Target="../media/image117.emf"/><Relationship Id="rId78" Type="http://schemas.openxmlformats.org/officeDocument/2006/relationships/control" Target="../activeX/activeX119.xml"/><Relationship Id="rId94" Type="http://schemas.openxmlformats.org/officeDocument/2006/relationships/control" Target="../activeX/activeX127.xml"/><Relationship Id="rId99" Type="http://schemas.openxmlformats.org/officeDocument/2006/relationships/image" Target="../media/image130.emf"/><Relationship Id="rId101" Type="http://schemas.openxmlformats.org/officeDocument/2006/relationships/image" Target="../media/image131.emf"/><Relationship Id="rId122" Type="http://schemas.openxmlformats.org/officeDocument/2006/relationships/control" Target="../activeX/activeX141.xml"/><Relationship Id="rId4" Type="http://schemas.openxmlformats.org/officeDocument/2006/relationships/control" Target="../activeX/activeX82.xml"/><Relationship Id="rId9" Type="http://schemas.openxmlformats.org/officeDocument/2006/relationships/image" Target="../media/image85.emf"/><Relationship Id="rId26" Type="http://schemas.openxmlformats.org/officeDocument/2006/relationships/control" Target="../activeX/activeX93.xml"/><Relationship Id="rId47" Type="http://schemas.openxmlformats.org/officeDocument/2006/relationships/image" Target="../media/image104.emf"/><Relationship Id="rId68" Type="http://schemas.openxmlformats.org/officeDocument/2006/relationships/control" Target="../activeX/activeX114.xml"/><Relationship Id="rId89" Type="http://schemas.openxmlformats.org/officeDocument/2006/relationships/image" Target="../media/image125.emf"/><Relationship Id="rId112" Type="http://schemas.openxmlformats.org/officeDocument/2006/relationships/control" Target="../activeX/activeX136.xml"/><Relationship Id="rId133" Type="http://schemas.openxmlformats.org/officeDocument/2006/relationships/image" Target="../media/image147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49.xml"/><Relationship Id="rId13" Type="http://schemas.openxmlformats.org/officeDocument/2006/relationships/control" Target="../activeX/activeX153.xml"/><Relationship Id="rId18" Type="http://schemas.openxmlformats.org/officeDocument/2006/relationships/control" Target="../activeX/activeX158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.xml"/><Relationship Id="rId7" Type="http://schemas.openxmlformats.org/officeDocument/2006/relationships/image" Target="../media/image149.emf"/><Relationship Id="rId12" Type="http://schemas.openxmlformats.org/officeDocument/2006/relationships/control" Target="../activeX/activeX152.xml"/><Relationship Id="rId17" Type="http://schemas.openxmlformats.org/officeDocument/2006/relationships/control" Target="../activeX/activeX157.xml"/><Relationship Id="rId2" Type="http://schemas.openxmlformats.org/officeDocument/2006/relationships/drawing" Target="../drawings/drawing3.xml"/><Relationship Id="rId16" Type="http://schemas.openxmlformats.org/officeDocument/2006/relationships/control" Target="../activeX/activeX156.xml"/><Relationship Id="rId20" Type="http://schemas.openxmlformats.org/officeDocument/2006/relationships/control" Target="../activeX/activeX160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48.xml"/><Relationship Id="rId11" Type="http://schemas.openxmlformats.org/officeDocument/2006/relationships/control" Target="../activeX/activeX151.xml"/><Relationship Id="rId5" Type="http://schemas.openxmlformats.org/officeDocument/2006/relationships/image" Target="../media/image148.emf"/><Relationship Id="rId15" Type="http://schemas.openxmlformats.org/officeDocument/2006/relationships/control" Target="../activeX/activeX155.xml"/><Relationship Id="rId10" Type="http://schemas.openxmlformats.org/officeDocument/2006/relationships/control" Target="../activeX/activeX150.xml"/><Relationship Id="rId19" Type="http://schemas.openxmlformats.org/officeDocument/2006/relationships/control" Target="../activeX/activeX159.xml"/><Relationship Id="rId4" Type="http://schemas.openxmlformats.org/officeDocument/2006/relationships/control" Target="../activeX/activeX147.xml"/><Relationship Id="rId9" Type="http://schemas.openxmlformats.org/officeDocument/2006/relationships/image" Target="../media/image150.emf"/><Relationship Id="rId14" Type="http://schemas.openxmlformats.org/officeDocument/2006/relationships/control" Target="../activeX/activeX15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Laura.Wittstock@acelity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K534"/>
  <sheetViews>
    <sheetView topLeftCell="B508" workbookViewId="0">
      <selection activeCell="E540" sqref="E540"/>
    </sheetView>
  </sheetViews>
  <sheetFormatPr defaultColWidth="52.28515625" defaultRowHeight="15" x14ac:dyDescent="0.25"/>
  <cols>
    <col min="1" max="1" width="9.140625" style="205" bestFit="1" customWidth="1"/>
    <col min="2" max="2" width="21.140625" style="205" customWidth="1"/>
    <col min="3" max="3" width="19.85546875" style="205" customWidth="1"/>
    <col min="4" max="4" width="51.42578125" style="205" customWidth="1"/>
    <col min="5" max="5" width="56.42578125" style="222" customWidth="1"/>
    <col min="6" max="6" width="52.28515625" style="205"/>
    <col min="7" max="7" width="11.7109375" style="205" bestFit="1" customWidth="1"/>
    <col min="8" max="8" width="17.42578125" style="205" customWidth="1"/>
    <col min="9" max="9" width="19.28515625" style="205" customWidth="1"/>
    <col min="10" max="10" width="22.140625" style="205" customWidth="1"/>
    <col min="11" max="11" width="16.85546875" style="205" customWidth="1"/>
    <col min="12" max="16384" width="52.28515625" style="205"/>
  </cols>
  <sheetData>
    <row r="1" spans="1:11" x14ac:dyDescent="0.25">
      <c r="A1" s="224" t="s">
        <v>166</v>
      </c>
      <c r="B1" s="224" t="s">
        <v>161</v>
      </c>
      <c r="C1" s="224" t="s">
        <v>164</v>
      </c>
      <c r="D1" s="224" t="s">
        <v>167</v>
      </c>
      <c r="E1" s="225" t="s">
        <v>162</v>
      </c>
      <c r="F1" s="226" t="s">
        <v>174</v>
      </c>
      <c r="G1" s="236" t="s">
        <v>1006</v>
      </c>
      <c r="H1" s="236" t="s">
        <v>1007</v>
      </c>
      <c r="I1" s="236" t="s">
        <v>1008</v>
      </c>
      <c r="J1" s="236" t="s">
        <v>1001</v>
      </c>
      <c r="K1" s="236" t="s">
        <v>1013</v>
      </c>
    </row>
    <row r="2" spans="1:11" x14ac:dyDescent="0.25">
      <c r="A2" s="227">
        <v>1</v>
      </c>
      <c r="B2" s="228" t="s">
        <v>163</v>
      </c>
      <c r="C2" s="228" t="s">
        <v>165</v>
      </c>
      <c r="D2" s="229" t="s">
        <v>168</v>
      </c>
      <c r="E2" s="222" t="str">
        <f>IF(PNP="","Null",PNP)</f>
        <v>Null</v>
      </c>
      <c r="F2" s="230" t="s">
        <v>882</v>
      </c>
      <c r="G2" s="205" t="s">
        <v>1012</v>
      </c>
      <c r="H2" s="205">
        <v>1</v>
      </c>
      <c r="I2" s="205">
        <v>100</v>
      </c>
      <c r="J2" s="205">
        <v>1</v>
      </c>
      <c r="K2" s="205">
        <v>1</v>
      </c>
    </row>
    <row r="3" spans="1:11" x14ac:dyDescent="0.25">
      <c r="A3" s="227">
        <v>2</v>
      </c>
      <c r="B3" s="206" t="s">
        <v>163</v>
      </c>
      <c r="C3" s="206" t="s">
        <v>165</v>
      </c>
      <c r="D3" s="206" t="s">
        <v>169</v>
      </c>
      <c r="E3" s="222" t="str">
        <f>IF(pd_title="","Null",pd_title)</f>
        <v>Null</v>
      </c>
      <c r="F3" s="206" t="s">
        <v>868</v>
      </c>
      <c r="G3" s="205" t="s">
        <v>1012</v>
      </c>
      <c r="H3" s="205">
        <v>1</v>
      </c>
      <c r="I3" s="205">
        <v>50</v>
      </c>
      <c r="J3" s="205">
        <v>0</v>
      </c>
      <c r="K3" s="205">
        <v>0</v>
      </c>
    </row>
    <row r="4" spans="1:11" x14ac:dyDescent="0.25">
      <c r="A4" s="227">
        <v>3</v>
      </c>
      <c r="B4" s="207" t="s">
        <v>163</v>
      </c>
      <c r="C4" s="207" t="s">
        <v>165</v>
      </c>
      <c r="D4" s="207" t="s">
        <v>170</v>
      </c>
      <c r="E4" s="222" t="str">
        <f>IF(pd_name="","Null",pd_name)</f>
        <v>Null</v>
      </c>
      <c r="F4" s="206" t="s">
        <v>868</v>
      </c>
      <c r="G4" s="205" t="s">
        <v>1012</v>
      </c>
      <c r="H4" s="205">
        <v>1</v>
      </c>
      <c r="I4" s="205">
        <v>50</v>
      </c>
      <c r="J4" s="205">
        <v>1</v>
      </c>
      <c r="K4" s="205">
        <v>1</v>
      </c>
    </row>
    <row r="5" spans="1:11" x14ac:dyDescent="0.25">
      <c r="A5" s="227">
        <v>4</v>
      </c>
      <c r="B5" s="207" t="s">
        <v>163</v>
      </c>
      <c r="C5" s="207" t="s">
        <v>165</v>
      </c>
      <c r="D5" s="207" t="s">
        <v>171</v>
      </c>
      <c r="E5" s="222" t="str">
        <f>IF(pd_surname="","Null",pd_surname)</f>
        <v>Null</v>
      </c>
      <c r="F5" s="206" t="s">
        <v>868</v>
      </c>
      <c r="G5" s="205" t="s">
        <v>1012</v>
      </c>
      <c r="H5" s="205">
        <v>1</v>
      </c>
      <c r="I5" s="205">
        <v>50</v>
      </c>
      <c r="J5" s="205">
        <v>1</v>
      </c>
      <c r="K5" s="205">
        <v>1</v>
      </c>
    </row>
    <row r="6" spans="1:11" x14ac:dyDescent="0.25">
      <c r="A6" s="227">
        <v>5</v>
      </c>
      <c r="B6" s="207" t="s">
        <v>163</v>
      </c>
      <c r="C6" s="207" t="s">
        <v>165</v>
      </c>
      <c r="D6" s="207" t="s">
        <v>915</v>
      </c>
      <c r="E6" s="222" t="str">
        <f>IF(Pd_Phone="","Null",Pd_Phone)</f>
        <v>Null</v>
      </c>
      <c r="F6" s="206" t="s">
        <v>868</v>
      </c>
      <c r="G6" s="205" t="s">
        <v>1012</v>
      </c>
      <c r="H6" s="205">
        <v>1</v>
      </c>
      <c r="I6" s="205">
        <v>50</v>
      </c>
      <c r="J6" s="205">
        <v>1</v>
      </c>
      <c r="K6" s="205">
        <v>1</v>
      </c>
    </row>
    <row r="7" spans="1:11" x14ac:dyDescent="0.25">
      <c r="A7" s="227">
        <v>6</v>
      </c>
      <c r="B7" s="207" t="s">
        <v>163</v>
      </c>
      <c r="C7" s="207" t="s">
        <v>165</v>
      </c>
      <c r="D7" s="207" t="s">
        <v>172</v>
      </c>
      <c r="E7" s="223" t="str">
        <f>IF(pd_dob_year &amp; pd_dob_month&amp;pd_dob_day="","Null",pd_dob_year &amp; pd_dob_month&amp;pd_dob_day)</f>
        <v>Null</v>
      </c>
      <c r="F7" s="206" t="s">
        <v>868</v>
      </c>
      <c r="G7" s="205" t="s">
        <v>1009</v>
      </c>
      <c r="H7" s="205">
        <v>1</v>
      </c>
      <c r="I7" s="205">
        <v>8</v>
      </c>
      <c r="J7" s="205">
        <v>1</v>
      </c>
      <c r="K7" s="205">
        <v>1</v>
      </c>
    </row>
    <row r="8" spans="1:11" x14ac:dyDescent="0.25">
      <c r="A8" s="227">
        <v>7</v>
      </c>
      <c r="B8" s="207" t="s">
        <v>163</v>
      </c>
      <c r="C8" s="207" t="s">
        <v>165</v>
      </c>
      <c r="D8" s="205" t="s">
        <v>173</v>
      </c>
      <c r="E8" s="222" t="str">
        <f>IF(ISERROR(VLOOKUP(pd_med,MedAids!A:B,2,0)),"Null", VLOOKUP(pd_med,MedAids!A:B,2,0))</f>
        <v>Null</v>
      </c>
      <c r="F8" s="206" t="s">
        <v>882</v>
      </c>
      <c r="G8" s="205" t="s">
        <v>1012</v>
      </c>
      <c r="H8" s="205">
        <v>1</v>
      </c>
      <c r="I8" s="205">
        <v>200</v>
      </c>
      <c r="J8" s="205">
        <v>1</v>
      </c>
      <c r="K8" s="205">
        <v>1</v>
      </c>
    </row>
    <row r="9" spans="1:11" x14ac:dyDescent="0.25">
      <c r="A9" s="227">
        <v>8</v>
      </c>
      <c r="B9" s="207" t="s">
        <v>163</v>
      </c>
      <c r="C9" s="207" t="s">
        <v>165</v>
      </c>
      <c r="D9" s="205" t="s">
        <v>202</v>
      </c>
      <c r="E9" s="222" t="str">
        <f>IF(pd_medno="","Null",pd_medno)</f>
        <v>Null</v>
      </c>
      <c r="F9" s="206" t="s">
        <v>882</v>
      </c>
      <c r="G9" s="205" t="s">
        <v>1012</v>
      </c>
      <c r="H9" s="205">
        <v>1</v>
      </c>
      <c r="I9" s="205">
        <v>100</v>
      </c>
      <c r="J9" s="205">
        <v>1</v>
      </c>
      <c r="K9" s="205">
        <v>1</v>
      </c>
    </row>
    <row r="10" spans="1:11" x14ac:dyDescent="0.25">
      <c r="A10" s="227">
        <v>9</v>
      </c>
      <c r="B10" s="207" t="s">
        <v>163</v>
      </c>
      <c r="C10" s="207" t="s">
        <v>165</v>
      </c>
      <c r="D10" s="205" t="s">
        <v>203</v>
      </c>
      <c r="E10" s="222" t="str">
        <f>IF(ass_MedOth="","Null",ass_MedOth)</f>
        <v>Null</v>
      </c>
      <c r="F10" s="206" t="s">
        <v>882</v>
      </c>
      <c r="G10" s="205" t="s">
        <v>1012</v>
      </c>
      <c r="H10" s="205">
        <v>1</v>
      </c>
      <c r="I10" s="205">
        <v>500</v>
      </c>
      <c r="J10" s="205">
        <v>0</v>
      </c>
      <c r="K10" s="205">
        <v>0</v>
      </c>
    </row>
    <row r="11" spans="1:11" x14ac:dyDescent="0.25">
      <c r="A11" s="227">
        <v>10</v>
      </c>
      <c r="B11" s="207" t="s">
        <v>163</v>
      </c>
      <c r="C11" s="207" t="s">
        <v>165</v>
      </c>
      <c r="D11" s="205" t="s">
        <v>174</v>
      </c>
      <c r="E11" s="222" t="str">
        <f>IF(pd_loc="","Null",pd_loc)</f>
        <v>Null</v>
      </c>
      <c r="F11" s="206" t="s">
        <v>869</v>
      </c>
      <c r="G11" s="205" t="s">
        <v>1012</v>
      </c>
      <c r="H11" s="205">
        <v>1</v>
      </c>
      <c r="I11" s="205">
        <v>500</v>
      </c>
      <c r="J11" s="205">
        <v>0</v>
      </c>
      <c r="K11" s="205">
        <v>0</v>
      </c>
    </row>
    <row r="12" spans="1:11" x14ac:dyDescent="0.25">
      <c r="A12" s="227">
        <v>11</v>
      </c>
      <c r="B12" s="207" t="s">
        <v>163</v>
      </c>
      <c r="C12" s="207" t="s">
        <v>165</v>
      </c>
      <c r="D12" s="207" t="s">
        <v>905</v>
      </c>
      <c r="E12" s="222" t="str">
        <f>IF(Other_Location="","Null",Other_Location)</f>
        <v>Null</v>
      </c>
      <c r="F12" s="206" t="s">
        <v>869</v>
      </c>
      <c r="G12" s="205" t="s">
        <v>1012</v>
      </c>
      <c r="H12" s="205">
        <v>1</v>
      </c>
      <c r="I12" s="205">
        <v>200</v>
      </c>
      <c r="J12" s="205">
        <v>0</v>
      </c>
      <c r="K12" s="205">
        <v>0</v>
      </c>
    </row>
    <row r="13" spans="1:11" x14ac:dyDescent="0.25">
      <c r="A13" s="227">
        <v>12</v>
      </c>
      <c r="B13" s="207" t="s">
        <v>163</v>
      </c>
      <c r="C13" s="207" t="s">
        <v>165</v>
      </c>
      <c r="D13" s="205" t="s">
        <v>175</v>
      </c>
      <c r="E13" s="222" t="str">
        <f>IF(pd_hospit="","Null",pd_hospit)</f>
        <v>Null</v>
      </c>
      <c r="F13" s="206" t="s">
        <v>869</v>
      </c>
      <c r="G13" s="205" t="s">
        <v>1012</v>
      </c>
      <c r="H13" s="205">
        <v>1</v>
      </c>
      <c r="I13" s="205">
        <v>50</v>
      </c>
      <c r="J13" s="205">
        <v>0</v>
      </c>
      <c r="K13" s="205">
        <v>0</v>
      </c>
    </row>
    <row r="14" spans="1:11" x14ac:dyDescent="0.25">
      <c r="A14" s="227">
        <v>13</v>
      </c>
      <c r="B14" s="207" t="s">
        <v>163</v>
      </c>
      <c r="C14" s="207" t="s">
        <v>165</v>
      </c>
      <c r="D14" s="205" t="s">
        <v>176</v>
      </c>
      <c r="E14" s="222" t="str">
        <f>IF(pd_ward="","Null",pd_ward)</f>
        <v>Null</v>
      </c>
      <c r="F14" s="206" t="s">
        <v>869</v>
      </c>
      <c r="G14" s="205" t="s">
        <v>1012</v>
      </c>
      <c r="H14" s="205">
        <v>1</v>
      </c>
      <c r="I14" s="205">
        <v>50</v>
      </c>
      <c r="J14" s="205">
        <v>0</v>
      </c>
      <c r="K14" s="205">
        <v>0</v>
      </c>
    </row>
    <row r="15" spans="1:11" x14ac:dyDescent="0.25">
      <c r="A15" s="227">
        <v>14</v>
      </c>
      <c r="B15" s="207" t="s">
        <v>163</v>
      </c>
      <c r="C15" s="207" t="s">
        <v>165</v>
      </c>
      <c r="D15" s="205" t="s">
        <v>177</v>
      </c>
      <c r="E15" s="244" t="str">
        <f>IF(pd_hospdate="","Null",pd_hospdate)</f>
        <v>Null</v>
      </c>
      <c r="F15" s="206" t="s">
        <v>869</v>
      </c>
      <c r="G15" s="205" t="s">
        <v>1010</v>
      </c>
      <c r="H15" s="205">
        <v>1</v>
      </c>
      <c r="I15" s="205">
        <v>10</v>
      </c>
      <c r="J15" s="205">
        <v>0</v>
      </c>
      <c r="K15" s="205">
        <v>0</v>
      </c>
    </row>
    <row r="16" spans="1:11" x14ac:dyDescent="0.25">
      <c r="A16" s="227">
        <v>15</v>
      </c>
      <c r="B16" s="207" t="s">
        <v>163</v>
      </c>
      <c r="C16" s="207" t="s">
        <v>165</v>
      </c>
      <c r="D16" s="205" t="s">
        <v>101</v>
      </c>
      <c r="E16" s="222" t="str">
        <f>IF(ISERROR(VLOOKUP(pd_terr,Regions!A:B,2,0)),"Null", VLOOKUP(pd_terr,Regions!A:B,2,0))</f>
        <v>Null</v>
      </c>
      <c r="F16" s="206" t="s">
        <v>869</v>
      </c>
      <c r="G16" s="205" t="s">
        <v>1012</v>
      </c>
      <c r="H16" s="205">
        <v>1</v>
      </c>
      <c r="I16" s="205">
        <v>50</v>
      </c>
      <c r="J16" s="205">
        <v>1</v>
      </c>
      <c r="K16" s="205">
        <v>1</v>
      </c>
    </row>
    <row r="17" spans="1:11" x14ac:dyDescent="0.25">
      <c r="A17" s="227">
        <v>16</v>
      </c>
      <c r="B17" s="207" t="s">
        <v>163</v>
      </c>
      <c r="C17" s="207" t="s">
        <v>165</v>
      </c>
      <c r="D17" s="205" t="s">
        <v>178</v>
      </c>
      <c r="E17" s="222" t="str">
        <f>IF(pd_drname="","Null",pd_drname)</f>
        <v>Null</v>
      </c>
      <c r="F17" s="206" t="s">
        <v>882</v>
      </c>
      <c r="G17" s="205" t="s">
        <v>1012</v>
      </c>
      <c r="H17" s="205">
        <v>1</v>
      </c>
      <c r="I17" s="205">
        <v>50</v>
      </c>
      <c r="J17" s="205">
        <v>0</v>
      </c>
      <c r="K17" s="205">
        <v>0</v>
      </c>
    </row>
    <row r="18" spans="1:11" x14ac:dyDescent="0.25">
      <c r="A18" s="227">
        <v>17</v>
      </c>
      <c r="B18" s="207" t="s">
        <v>163</v>
      </c>
      <c r="C18" s="207" t="s">
        <v>165</v>
      </c>
      <c r="D18" s="205" t="s">
        <v>179</v>
      </c>
      <c r="E18" s="222" t="str">
        <f>IF(pd_drno="","Null",pd_drno)</f>
        <v>Null</v>
      </c>
      <c r="F18" s="206" t="s">
        <v>882</v>
      </c>
      <c r="G18" s="205" t="s">
        <v>1009</v>
      </c>
      <c r="H18" s="205">
        <v>7</v>
      </c>
      <c r="I18" s="205">
        <v>7</v>
      </c>
      <c r="J18" s="205">
        <v>0</v>
      </c>
      <c r="K18" s="205">
        <v>0</v>
      </c>
    </row>
    <row r="19" spans="1:11" x14ac:dyDescent="0.25">
      <c r="A19" s="227">
        <v>18</v>
      </c>
      <c r="B19" s="207" t="s">
        <v>163</v>
      </c>
      <c r="C19" s="207" t="s">
        <v>165</v>
      </c>
      <c r="D19" s="222" t="s">
        <v>929</v>
      </c>
      <c r="E19" s="244" t="str">
        <f>IF(pd_assmntdate="","Null",pd_assmntdate)</f>
        <v>Null</v>
      </c>
      <c r="F19" s="206" t="s">
        <v>869</v>
      </c>
      <c r="G19" s="205" t="s">
        <v>1010</v>
      </c>
      <c r="H19" s="205">
        <v>1</v>
      </c>
      <c r="I19" s="205">
        <v>10</v>
      </c>
      <c r="J19" s="205">
        <v>0</v>
      </c>
      <c r="K19" s="205">
        <v>1</v>
      </c>
    </row>
    <row r="20" spans="1:11" x14ac:dyDescent="0.25">
      <c r="A20" s="227">
        <v>19</v>
      </c>
      <c r="B20" s="207" t="s">
        <v>163</v>
      </c>
      <c r="C20" s="207" t="s">
        <v>181</v>
      </c>
      <c r="D20" s="207" t="s">
        <v>507</v>
      </c>
      <c r="E20" s="222" t="str">
        <f>IF(Wnd1Cat="","Null",Wnd1Cat)</f>
        <v>Null</v>
      </c>
      <c r="F20" s="206" t="s">
        <v>870</v>
      </c>
      <c r="G20" s="205" t="s">
        <v>1012</v>
      </c>
      <c r="H20" s="205">
        <v>1</v>
      </c>
      <c r="I20" s="205">
        <v>500</v>
      </c>
      <c r="J20" s="205">
        <v>1</v>
      </c>
      <c r="K20" s="205">
        <v>1</v>
      </c>
    </row>
    <row r="21" spans="1:11" x14ac:dyDescent="0.25">
      <c r="A21" s="227">
        <v>20</v>
      </c>
      <c r="B21" s="207" t="s">
        <v>163</v>
      </c>
      <c r="C21" s="207" t="s">
        <v>181</v>
      </c>
      <c r="D21" s="207" t="s">
        <v>510</v>
      </c>
      <c r="E21" s="222" t="str">
        <f>IF(wd_1loc="","Null",wd_1loc)</f>
        <v>Null</v>
      </c>
      <c r="F21" s="206" t="s">
        <v>871</v>
      </c>
      <c r="G21" s="205" t="s">
        <v>1012</v>
      </c>
      <c r="H21" s="205">
        <v>1</v>
      </c>
      <c r="I21" s="205">
        <v>50</v>
      </c>
      <c r="J21" s="205">
        <v>1</v>
      </c>
      <c r="K21" s="205">
        <v>1</v>
      </c>
    </row>
    <row r="22" spans="1:11" x14ac:dyDescent="0.25">
      <c r="A22" s="227">
        <v>21</v>
      </c>
      <c r="B22" s="207" t="s">
        <v>163</v>
      </c>
      <c r="C22" s="207" t="s">
        <v>181</v>
      </c>
      <c r="D22" s="207" t="s">
        <v>912</v>
      </c>
      <c r="E22" s="222" t="str">
        <f>IF(wd_1type="","Null",wd_1type)</f>
        <v>Null</v>
      </c>
      <c r="F22" s="206" t="s">
        <v>872</v>
      </c>
      <c r="G22" s="205" t="s">
        <v>1012</v>
      </c>
      <c r="H22" s="205">
        <v>1</v>
      </c>
      <c r="I22" s="205">
        <v>500</v>
      </c>
      <c r="J22" s="205">
        <v>1</v>
      </c>
      <c r="K22" s="205">
        <v>1</v>
      </c>
    </row>
    <row r="23" spans="1:11" x14ac:dyDescent="0.25">
      <c r="A23" s="227">
        <v>22</v>
      </c>
      <c r="B23" s="207" t="s">
        <v>163</v>
      </c>
      <c r="C23" s="207" t="s">
        <v>181</v>
      </c>
      <c r="D23" s="207" t="s">
        <v>513</v>
      </c>
      <c r="E23" s="222" t="str">
        <f>IF(wd_1tysub="","Null",wd_1tysub)</f>
        <v>Null</v>
      </c>
      <c r="F23" s="206" t="s">
        <v>873</v>
      </c>
      <c r="G23" s="205" t="s">
        <v>1012</v>
      </c>
      <c r="H23" s="205">
        <v>1</v>
      </c>
      <c r="I23" s="205">
        <v>500</v>
      </c>
      <c r="J23" s="205">
        <v>1</v>
      </c>
      <c r="K23" s="205">
        <v>1</v>
      </c>
    </row>
    <row r="24" spans="1:11" x14ac:dyDescent="0.25">
      <c r="A24" s="227">
        <v>23</v>
      </c>
      <c r="B24" s="207" t="s">
        <v>163</v>
      </c>
      <c r="C24" s="207" t="s">
        <v>181</v>
      </c>
      <c r="D24" s="207" t="s">
        <v>480</v>
      </c>
      <c r="E24" s="222" t="str">
        <f>IF(wd_1chronic="","Null",wd_1chronic)</f>
        <v>Null</v>
      </c>
      <c r="F24" s="206" t="s">
        <v>874</v>
      </c>
      <c r="G24" s="205" t="s">
        <v>1012</v>
      </c>
      <c r="H24" s="205">
        <v>1</v>
      </c>
      <c r="I24" s="205">
        <v>50</v>
      </c>
      <c r="J24" s="205">
        <v>0</v>
      </c>
      <c r="K24" s="205">
        <v>0</v>
      </c>
    </row>
    <row r="25" spans="1:11" x14ac:dyDescent="0.25">
      <c r="A25" s="227">
        <v>24</v>
      </c>
      <c r="B25" s="207" t="s">
        <v>163</v>
      </c>
      <c r="C25" s="207" t="s">
        <v>181</v>
      </c>
      <c r="D25" s="207" t="s">
        <v>495</v>
      </c>
      <c r="E25" s="208" t="b">
        <v>0</v>
      </c>
      <c r="F25" s="206" t="s">
        <v>874</v>
      </c>
      <c r="G25" s="205" t="s">
        <v>1012</v>
      </c>
      <c r="H25" s="205">
        <v>1</v>
      </c>
      <c r="I25" s="205">
        <v>50</v>
      </c>
      <c r="J25" s="205">
        <v>0</v>
      </c>
      <c r="K25" s="205">
        <v>0</v>
      </c>
    </row>
    <row r="26" spans="1:11" x14ac:dyDescent="0.25">
      <c r="A26" s="227">
        <v>25</v>
      </c>
      <c r="B26" s="207" t="s">
        <v>163</v>
      </c>
      <c r="C26" s="207" t="s">
        <v>181</v>
      </c>
      <c r="D26" s="207" t="s">
        <v>479</v>
      </c>
      <c r="E26" s="222" t="str">
        <f>IF(wd_1moist="","Null", wd_1moist)</f>
        <v>Null</v>
      </c>
      <c r="F26" s="206" t="s">
        <v>874</v>
      </c>
      <c r="G26" s="205" t="s">
        <v>1012</v>
      </c>
      <c r="H26" s="205">
        <v>1</v>
      </c>
      <c r="I26" s="205">
        <v>50</v>
      </c>
      <c r="J26" s="205">
        <v>0</v>
      </c>
      <c r="K26" s="205">
        <v>0</v>
      </c>
    </row>
    <row r="27" spans="1:11" x14ac:dyDescent="0.25">
      <c r="A27" s="227">
        <v>26</v>
      </c>
      <c r="B27" s="207" t="s">
        <v>163</v>
      </c>
      <c r="C27" s="207" t="s">
        <v>181</v>
      </c>
      <c r="D27" s="207" t="s">
        <v>461</v>
      </c>
      <c r="E27" s="222" t="str">
        <f>IF(wd_1edge="","Null", wd_1edge)</f>
        <v>Null</v>
      </c>
      <c r="F27" s="206" t="s">
        <v>874</v>
      </c>
      <c r="G27" s="205" t="s">
        <v>1012</v>
      </c>
      <c r="H27" s="205">
        <v>1</v>
      </c>
      <c r="I27" s="205">
        <v>50</v>
      </c>
      <c r="J27" s="205">
        <v>0</v>
      </c>
      <c r="K27" s="205">
        <v>0</v>
      </c>
    </row>
    <row r="28" spans="1:11" x14ac:dyDescent="0.25">
      <c r="A28" s="227">
        <v>27</v>
      </c>
      <c r="B28" s="207" t="s">
        <v>163</v>
      </c>
      <c r="C28" s="207" t="s">
        <v>181</v>
      </c>
      <c r="D28" s="207" t="s">
        <v>464</v>
      </c>
      <c r="E28" s="222" t="str">
        <f>IF(wd_1len="","Null", wd_1len)</f>
        <v>Null</v>
      </c>
      <c r="F28" s="206" t="s">
        <v>874</v>
      </c>
      <c r="G28" s="205" t="s">
        <v>1012</v>
      </c>
      <c r="H28" s="205">
        <v>1</v>
      </c>
      <c r="I28" s="205">
        <v>50</v>
      </c>
      <c r="J28" s="205">
        <v>0</v>
      </c>
      <c r="K28" s="205">
        <v>0</v>
      </c>
    </row>
    <row r="29" spans="1:11" x14ac:dyDescent="0.25">
      <c r="A29" s="227">
        <v>28</v>
      </c>
      <c r="B29" s="207" t="s">
        <v>163</v>
      </c>
      <c r="C29" s="207" t="s">
        <v>181</v>
      </c>
      <c r="D29" s="207" t="s">
        <v>467</v>
      </c>
      <c r="E29" s="222" t="str">
        <f>IF(wd_1wid="","Null", wd_1wid)</f>
        <v>Null</v>
      </c>
      <c r="F29" s="206" t="s">
        <v>874</v>
      </c>
      <c r="G29" s="205" t="s">
        <v>1012</v>
      </c>
      <c r="H29" s="205">
        <v>1</v>
      </c>
      <c r="I29" s="205">
        <v>50</v>
      </c>
      <c r="J29" s="205">
        <v>0</v>
      </c>
      <c r="K29" s="205">
        <v>0</v>
      </c>
    </row>
    <row r="30" spans="1:11" x14ac:dyDescent="0.25">
      <c r="A30" s="227">
        <v>29</v>
      </c>
      <c r="B30" s="207" t="s">
        <v>163</v>
      </c>
      <c r="C30" s="207" t="s">
        <v>181</v>
      </c>
      <c r="D30" s="207" t="s">
        <v>518</v>
      </c>
      <c r="E30" s="222" t="str">
        <f>IF(wd_1dep="","Null", wd_1dep)</f>
        <v>Null</v>
      </c>
      <c r="F30" s="206" t="s">
        <v>874</v>
      </c>
      <c r="G30" s="205" t="s">
        <v>1012</v>
      </c>
      <c r="H30" s="205">
        <v>1</v>
      </c>
      <c r="I30" s="205">
        <v>50</v>
      </c>
      <c r="J30" s="205">
        <v>0</v>
      </c>
      <c r="K30" s="205">
        <v>0</v>
      </c>
    </row>
    <row r="31" spans="1:11" x14ac:dyDescent="0.25">
      <c r="A31" s="227">
        <v>30</v>
      </c>
      <c r="B31" s="207" t="s">
        <v>163</v>
      </c>
      <c r="C31" s="207" t="s">
        <v>181</v>
      </c>
      <c r="D31" s="207" t="s">
        <v>470</v>
      </c>
      <c r="E31" s="222" t="str">
        <f>IF(wnd_1tunl="","Null", wnd_1tunl)</f>
        <v>Null</v>
      </c>
      <c r="F31" s="206" t="s">
        <v>874</v>
      </c>
      <c r="G31" s="205" t="s">
        <v>1012</v>
      </c>
      <c r="H31" s="205">
        <v>1</v>
      </c>
      <c r="I31" s="205">
        <v>50</v>
      </c>
      <c r="J31" s="205">
        <v>0</v>
      </c>
      <c r="K31" s="205">
        <v>0</v>
      </c>
    </row>
    <row r="32" spans="1:11" x14ac:dyDescent="0.25">
      <c r="A32" s="227">
        <v>31</v>
      </c>
      <c r="B32" s="207" t="s">
        <v>163</v>
      </c>
      <c r="C32" s="207" t="s">
        <v>181</v>
      </c>
      <c r="D32" s="207" t="s">
        <v>473</v>
      </c>
      <c r="E32" s="222" t="str">
        <f>IF(wnd_1undm="","Null", wnd_1undm)</f>
        <v>Null</v>
      </c>
      <c r="F32" s="206" t="s">
        <v>874</v>
      </c>
      <c r="G32" s="205" t="s">
        <v>1012</v>
      </c>
      <c r="H32" s="205">
        <v>1</v>
      </c>
      <c r="I32" s="205">
        <v>50</v>
      </c>
      <c r="J32" s="205">
        <v>0</v>
      </c>
      <c r="K32" s="205">
        <v>0</v>
      </c>
    </row>
    <row r="33" spans="1:11" x14ac:dyDescent="0.25">
      <c r="A33" s="227">
        <v>32</v>
      </c>
      <c r="B33" s="207" t="s">
        <v>163</v>
      </c>
      <c r="C33" s="207" t="s">
        <v>181</v>
      </c>
      <c r="D33" s="207" t="s">
        <v>476</v>
      </c>
      <c r="E33" s="244" t="str">
        <f>IF(wnd_1debr="","Null", wnd_1debr)</f>
        <v>Null</v>
      </c>
      <c r="F33" s="206" t="s">
        <v>874</v>
      </c>
      <c r="G33" s="205" t="s">
        <v>1010</v>
      </c>
      <c r="H33" s="205">
        <v>1</v>
      </c>
      <c r="I33" s="205">
        <v>10</v>
      </c>
      <c r="J33" s="205">
        <v>0</v>
      </c>
      <c r="K33" s="205">
        <v>0</v>
      </c>
    </row>
    <row r="34" spans="1:11" x14ac:dyDescent="0.25">
      <c r="A34" s="227">
        <v>33</v>
      </c>
      <c r="B34" s="207" t="s">
        <v>163</v>
      </c>
      <c r="C34" s="207" t="s">
        <v>181</v>
      </c>
      <c r="D34" s="207" t="s">
        <v>498</v>
      </c>
      <c r="E34" s="208" t="b">
        <v>0</v>
      </c>
      <c r="F34" s="206" t="s">
        <v>874</v>
      </c>
      <c r="G34" s="205" t="s">
        <v>1012</v>
      </c>
      <c r="H34" s="205">
        <v>1</v>
      </c>
      <c r="I34" s="205">
        <v>50</v>
      </c>
      <c r="J34" s="205">
        <v>0</v>
      </c>
      <c r="K34" s="205">
        <v>0</v>
      </c>
    </row>
    <row r="35" spans="1:11" x14ac:dyDescent="0.25">
      <c r="A35" s="227">
        <v>34</v>
      </c>
      <c r="B35" s="207" t="s">
        <v>163</v>
      </c>
      <c r="C35" s="207" t="s">
        <v>181</v>
      </c>
      <c r="D35" s="207" t="s">
        <v>492</v>
      </c>
      <c r="E35" s="208" t="b">
        <v>0</v>
      </c>
      <c r="F35" s="206" t="s">
        <v>874</v>
      </c>
      <c r="G35" s="205" t="s">
        <v>1012</v>
      </c>
      <c r="H35" s="205">
        <v>1</v>
      </c>
      <c r="I35" s="205">
        <v>50</v>
      </c>
      <c r="J35" s="205">
        <v>0</v>
      </c>
      <c r="K35" s="205">
        <v>0</v>
      </c>
    </row>
    <row r="36" spans="1:11" x14ac:dyDescent="0.25">
      <c r="A36" s="227">
        <v>35</v>
      </c>
      <c r="B36" s="207" t="s">
        <v>163</v>
      </c>
      <c r="C36" s="207" t="s">
        <v>181</v>
      </c>
      <c r="D36" s="207" t="s">
        <v>489</v>
      </c>
      <c r="E36" s="208" t="b">
        <v>0</v>
      </c>
      <c r="F36" s="206" t="s">
        <v>874</v>
      </c>
      <c r="G36" s="205" t="s">
        <v>1012</v>
      </c>
      <c r="H36" s="205">
        <v>1</v>
      </c>
      <c r="I36" s="205">
        <v>50</v>
      </c>
      <c r="J36" s="205">
        <v>0</v>
      </c>
      <c r="K36" s="205">
        <v>0</v>
      </c>
    </row>
    <row r="37" spans="1:11" x14ac:dyDescent="0.25">
      <c r="A37" s="227">
        <v>36</v>
      </c>
      <c r="B37" s="207" t="s">
        <v>163</v>
      </c>
      <c r="C37" s="207" t="s">
        <v>181</v>
      </c>
      <c r="D37" s="207" t="s">
        <v>483</v>
      </c>
      <c r="E37" s="208" t="b">
        <v>0</v>
      </c>
      <c r="F37" s="206" t="s">
        <v>874</v>
      </c>
      <c r="G37" s="205" t="s">
        <v>1012</v>
      </c>
      <c r="H37" s="205">
        <v>1</v>
      </c>
      <c r="I37" s="205">
        <v>50</v>
      </c>
      <c r="J37" s="205">
        <v>0</v>
      </c>
      <c r="K37" s="205">
        <v>0</v>
      </c>
    </row>
    <row r="38" spans="1:11" x14ac:dyDescent="0.25">
      <c r="A38" s="227">
        <v>37</v>
      </c>
      <c r="B38" s="207" t="s">
        <v>163</v>
      </c>
      <c r="C38" s="207" t="s">
        <v>181</v>
      </c>
      <c r="D38" s="207" t="s">
        <v>501</v>
      </c>
      <c r="E38" s="208" t="b">
        <v>0</v>
      </c>
      <c r="F38" s="206" t="s">
        <v>874</v>
      </c>
      <c r="G38" s="205" t="s">
        <v>1012</v>
      </c>
      <c r="H38" s="205">
        <v>1</v>
      </c>
      <c r="I38" s="205">
        <v>50</v>
      </c>
      <c r="J38" s="205">
        <v>0</v>
      </c>
      <c r="K38" s="205">
        <v>0</v>
      </c>
    </row>
    <row r="39" spans="1:11" x14ac:dyDescent="0.25">
      <c r="A39" s="227">
        <v>38</v>
      </c>
      <c r="B39" s="207" t="s">
        <v>163</v>
      </c>
      <c r="C39" s="207" t="s">
        <v>181</v>
      </c>
      <c r="D39" s="207" t="s">
        <v>504</v>
      </c>
      <c r="E39" s="208" t="b">
        <v>0</v>
      </c>
      <c r="F39" s="206" t="s">
        <v>874</v>
      </c>
      <c r="G39" s="205" t="s">
        <v>1012</v>
      </c>
      <c r="H39" s="205">
        <v>1</v>
      </c>
      <c r="I39" s="205">
        <v>50</v>
      </c>
      <c r="J39" s="205">
        <v>0</v>
      </c>
      <c r="K39" s="205">
        <v>0</v>
      </c>
    </row>
    <row r="40" spans="1:11" x14ac:dyDescent="0.25">
      <c r="A40" s="227">
        <v>39</v>
      </c>
      <c r="B40" s="207" t="s">
        <v>163</v>
      </c>
      <c r="C40" s="207" t="s">
        <v>181</v>
      </c>
      <c r="D40" s="207" t="s">
        <v>486</v>
      </c>
      <c r="E40" s="244" t="str">
        <f>IF(wd_1exud="","Null", wd_1exud)</f>
        <v>Null</v>
      </c>
      <c r="F40" s="206" t="s">
        <v>874</v>
      </c>
      <c r="G40" s="205" t="s">
        <v>1012</v>
      </c>
      <c r="H40" s="205">
        <v>1</v>
      </c>
      <c r="I40" s="205">
        <v>50</v>
      </c>
      <c r="J40" s="205">
        <v>0</v>
      </c>
      <c r="K40" s="205">
        <v>0</v>
      </c>
    </row>
    <row r="41" spans="1:11" x14ac:dyDescent="0.25">
      <c r="A41" s="227">
        <v>40</v>
      </c>
      <c r="B41" s="207" t="s">
        <v>163</v>
      </c>
      <c r="C41" s="207" t="s">
        <v>185</v>
      </c>
      <c r="D41" s="207" t="s">
        <v>508</v>
      </c>
      <c r="E41" s="222" t="str">
        <f>IF(Wnd2Cat="","Null", Wnd2Cat)</f>
        <v>Null</v>
      </c>
      <c r="F41" s="206" t="s">
        <v>870</v>
      </c>
      <c r="G41" s="205" t="s">
        <v>1012</v>
      </c>
      <c r="H41" s="205">
        <v>1</v>
      </c>
      <c r="I41" s="205">
        <v>500</v>
      </c>
      <c r="J41" s="205">
        <v>0</v>
      </c>
      <c r="K41" s="205">
        <v>0</v>
      </c>
    </row>
    <row r="42" spans="1:11" x14ac:dyDescent="0.25">
      <c r="A42" s="227">
        <v>41</v>
      </c>
      <c r="B42" s="207" t="s">
        <v>163</v>
      </c>
      <c r="C42" s="207" t="s">
        <v>185</v>
      </c>
      <c r="D42" s="207" t="s">
        <v>511</v>
      </c>
      <c r="E42" s="222" t="str">
        <f>IF(wd_2loc="","Null", wd_2loc)</f>
        <v>Null</v>
      </c>
      <c r="F42" s="206" t="s">
        <v>871</v>
      </c>
      <c r="G42" s="205" t="s">
        <v>1012</v>
      </c>
      <c r="H42" s="205">
        <v>1</v>
      </c>
      <c r="I42" s="205">
        <v>50</v>
      </c>
      <c r="J42" s="205">
        <v>0</v>
      </c>
      <c r="K42" s="205">
        <v>0</v>
      </c>
    </row>
    <row r="43" spans="1:11" x14ac:dyDescent="0.25">
      <c r="A43" s="227">
        <v>42</v>
      </c>
      <c r="B43" s="207" t="s">
        <v>163</v>
      </c>
      <c r="C43" s="207" t="s">
        <v>185</v>
      </c>
      <c r="D43" s="207" t="s">
        <v>516</v>
      </c>
      <c r="E43" s="222" t="str">
        <f>IF(wd_2type="","Null", wd_2type)</f>
        <v>Null</v>
      </c>
      <c r="F43" s="206" t="s">
        <v>872</v>
      </c>
      <c r="G43" s="205" t="s">
        <v>1012</v>
      </c>
      <c r="H43" s="205">
        <v>1</v>
      </c>
      <c r="I43" s="205">
        <v>500</v>
      </c>
      <c r="J43" s="205">
        <v>0</v>
      </c>
      <c r="K43" s="205">
        <v>0</v>
      </c>
    </row>
    <row r="44" spans="1:11" x14ac:dyDescent="0.25">
      <c r="A44" s="227">
        <v>43</v>
      </c>
      <c r="B44" s="207" t="s">
        <v>163</v>
      </c>
      <c r="C44" s="207" t="s">
        <v>185</v>
      </c>
      <c r="D44" s="207" t="s">
        <v>514</v>
      </c>
      <c r="E44" s="222" t="str">
        <f>IF(wd_2tysub="","Null", wd_2tysub)</f>
        <v>Null</v>
      </c>
      <c r="F44" s="206" t="s">
        <v>873</v>
      </c>
      <c r="G44" s="205" t="s">
        <v>1012</v>
      </c>
      <c r="H44" s="205">
        <v>1</v>
      </c>
      <c r="I44" s="205">
        <v>500</v>
      </c>
      <c r="J44" s="205">
        <v>0</v>
      </c>
      <c r="K44" s="205">
        <v>0</v>
      </c>
    </row>
    <row r="45" spans="1:11" x14ac:dyDescent="0.25">
      <c r="A45" s="227">
        <v>44</v>
      </c>
      <c r="B45" s="207" t="s">
        <v>163</v>
      </c>
      <c r="C45" s="207" t="s">
        <v>185</v>
      </c>
      <c r="D45" s="207" t="s">
        <v>481</v>
      </c>
      <c r="E45" s="222" t="str">
        <f>IF(wd_2chronic="","Null", wd_2chronic)</f>
        <v>Null</v>
      </c>
      <c r="F45" s="206" t="s">
        <v>874</v>
      </c>
      <c r="G45" s="205" t="s">
        <v>1012</v>
      </c>
      <c r="H45" s="205">
        <v>1</v>
      </c>
      <c r="I45" s="205">
        <v>50</v>
      </c>
      <c r="J45" s="205">
        <v>0</v>
      </c>
      <c r="K45" s="205">
        <v>0</v>
      </c>
    </row>
    <row r="46" spans="1:11" x14ac:dyDescent="0.25">
      <c r="A46" s="227">
        <v>45</v>
      </c>
      <c r="B46" s="207" t="s">
        <v>163</v>
      </c>
      <c r="C46" s="207" t="s">
        <v>185</v>
      </c>
      <c r="D46" s="207" t="s">
        <v>496</v>
      </c>
      <c r="E46" s="208" t="b">
        <v>0</v>
      </c>
      <c r="F46" s="206" t="s">
        <v>874</v>
      </c>
      <c r="G46" s="205" t="s">
        <v>1012</v>
      </c>
      <c r="H46" s="205">
        <v>1</v>
      </c>
      <c r="I46" s="205">
        <v>50</v>
      </c>
      <c r="J46" s="205">
        <v>0</v>
      </c>
      <c r="K46" s="205">
        <v>0</v>
      </c>
    </row>
    <row r="47" spans="1:11" x14ac:dyDescent="0.25">
      <c r="A47" s="227">
        <v>46</v>
      </c>
      <c r="B47" s="207" t="s">
        <v>163</v>
      </c>
      <c r="C47" s="207" t="s">
        <v>185</v>
      </c>
      <c r="D47" s="207" t="s">
        <v>459</v>
      </c>
      <c r="E47" s="222" t="str">
        <f>IF(wd_2moist="","Null", wd_2moist)</f>
        <v>Null</v>
      </c>
      <c r="F47" s="206" t="s">
        <v>874</v>
      </c>
      <c r="G47" s="205" t="s">
        <v>1012</v>
      </c>
      <c r="H47" s="205">
        <v>1</v>
      </c>
      <c r="I47" s="205">
        <v>50</v>
      </c>
      <c r="J47" s="205">
        <v>0</v>
      </c>
      <c r="K47" s="205">
        <v>0</v>
      </c>
    </row>
    <row r="48" spans="1:11" x14ac:dyDescent="0.25">
      <c r="A48" s="227">
        <v>47</v>
      </c>
      <c r="B48" s="207" t="s">
        <v>163</v>
      </c>
      <c r="C48" s="207" t="s">
        <v>185</v>
      </c>
      <c r="D48" s="207" t="s">
        <v>462</v>
      </c>
      <c r="E48" s="222" t="str">
        <f>IF(wd_2edge="","Null", wd_2edge)</f>
        <v>Null</v>
      </c>
      <c r="F48" s="206" t="s">
        <v>874</v>
      </c>
      <c r="G48" s="205" t="s">
        <v>1012</v>
      </c>
      <c r="H48" s="205">
        <v>1</v>
      </c>
      <c r="I48" s="205">
        <v>50</v>
      </c>
      <c r="J48" s="205">
        <v>0</v>
      </c>
      <c r="K48" s="205">
        <v>0</v>
      </c>
    </row>
    <row r="49" spans="1:11" x14ac:dyDescent="0.25">
      <c r="A49" s="227">
        <v>48</v>
      </c>
      <c r="B49" s="207" t="s">
        <v>163</v>
      </c>
      <c r="C49" s="207" t="s">
        <v>185</v>
      </c>
      <c r="D49" s="207" t="s">
        <v>465</v>
      </c>
      <c r="E49" s="222" t="str">
        <f>IF(wd_2len="","Null", wd_2len)</f>
        <v>Null</v>
      </c>
      <c r="F49" s="206" t="s">
        <v>874</v>
      </c>
      <c r="G49" s="205" t="s">
        <v>1012</v>
      </c>
      <c r="H49" s="205">
        <v>1</v>
      </c>
      <c r="I49" s="205">
        <v>50</v>
      </c>
      <c r="J49" s="205">
        <v>0</v>
      </c>
      <c r="K49" s="205">
        <v>0</v>
      </c>
    </row>
    <row r="50" spans="1:11" x14ac:dyDescent="0.25">
      <c r="A50" s="227">
        <v>49</v>
      </c>
      <c r="B50" s="207" t="s">
        <v>163</v>
      </c>
      <c r="C50" s="207" t="s">
        <v>185</v>
      </c>
      <c r="D50" s="207" t="s">
        <v>468</v>
      </c>
      <c r="E50" s="222" t="str">
        <f>IF(wd_2wid="","Null", wd_2wid)</f>
        <v>Null</v>
      </c>
      <c r="F50" s="206" t="s">
        <v>874</v>
      </c>
      <c r="G50" s="205" t="s">
        <v>1012</v>
      </c>
      <c r="H50" s="205">
        <v>1</v>
      </c>
      <c r="I50" s="205">
        <v>50</v>
      </c>
      <c r="J50" s="205">
        <v>0</v>
      </c>
      <c r="K50" s="205">
        <v>0</v>
      </c>
    </row>
    <row r="51" spans="1:11" x14ac:dyDescent="0.25">
      <c r="A51" s="227">
        <v>50</v>
      </c>
      <c r="B51" s="207" t="s">
        <v>163</v>
      </c>
      <c r="C51" s="207" t="s">
        <v>185</v>
      </c>
      <c r="D51" s="207" t="s">
        <v>519</v>
      </c>
      <c r="E51" s="222" t="str">
        <f>IF(wd_2dep="","Null", wd_2dep)</f>
        <v>Null</v>
      </c>
      <c r="F51" s="206" t="s">
        <v>874</v>
      </c>
      <c r="G51" s="205" t="s">
        <v>1012</v>
      </c>
      <c r="H51" s="205">
        <v>1</v>
      </c>
      <c r="I51" s="205">
        <v>50</v>
      </c>
      <c r="J51" s="205">
        <v>0</v>
      </c>
      <c r="K51" s="205">
        <v>0</v>
      </c>
    </row>
    <row r="52" spans="1:11" x14ac:dyDescent="0.25">
      <c r="A52" s="227">
        <v>51</v>
      </c>
      <c r="B52" s="207" t="s">
        <v>163</v>
      </c>
      <c r="C52" s="207" t="s">
        <v>185</v>
      </c>
      <c r="D52" s="207" t="s">
        <v>471</v>
      </c>
      <c r="E52" s="222" t="str">
        <f>IF(wnd_2tunl="","Null", wnd_2tunl)</f>
        <v>Null</v>
      </c>
      <c r="F52" s="206" t="s">
        <v>874</v>
      </c>
      <c r="G52" s="205" t="s">
        <v>1012</v>
      </c>
      <c r="H52" s="205">
        <v>1</v>
      </c>
      <c r="I52" s="205">
        <v>50</v>
      </c>
      <c r="J52" s="205">
        <v>0</v>
      </c>
      <c r="K52" s="205">
        <v>0</v>
      </c>
    </row>
    <row r="53" spans="1:11" x14ac:dyDescent="0.25">
      <c r="A53" s="227">
        <v>52</v>
      </c>
      <c r="B53" s="207" t="s">
        <v>163</v>
      </c>
      <c r="C53" s="207" t="s">
        <v>185</v>
      </c>
      <c r="D53" s="207" t="s">
        <v>474</v>
      </c>
      <c r="E53" s="222" t="str">
        <f>IF(wnd_2undm="","Null", wnd_2undm)</f>
        <v>Null</v>
      </c>
      <c r="F53" s="206" t="s">
        <v>874</v>
      </c>
      <c r="G53" s="205" t="s">
        <v>1012</v>
      </c>
      <c r="H53" s="205">
        <v>1</v>
      </c>
      <c r="I53" s="205">
        <v>50</v>
      </c>
      <c r="J53" s="205">
        <v>0</v>
      </c>
      <c r="K53" s="205">
        <v>0</v>
      </c>
    </row>
    <row r="54" spans="1:11" x14ac:dyDescent="0.25">
      <c r="A54" s="227">
        <v>53</v>
      </c>
      <c r="B54" s="207" t="s">
        <v>163</v>
      </c>
      <c r="C54" s="207" t="s">
        <v>185</v>
      </c>
      <c r="D54" s="207" t="s">
        <v>477</v>
      </c>
      <c r="E54" s="244" t="str">
        <f>IF(wnd_2debr="","Null", wnd_2debr)</f>
        <v>Null</v>
      </c>
      <c r="F54" s="206" t="s">
        <v>874</v>
      </c>
      <c r="G54" s="205" t="s">
        <v>1010</v>
      </c>
      <c r="H54" s="205">
        <v>1</v>
      </c>
      <c r="I54" s="205">
        <v>10</v>
      </c>
      <c r="J54" s="205">
        <v>0</v>
      </c>
      <c r="K54" s="205">
        <v>0</v>
      </c>
    </row>
    <row r="55" spans="1:11" x14ac:dyDescent="0.25">
      <c r="A55" s="227">
        <v>54</v>
      </c>
      <c r="B55" s="207" t="s">
        <v>163</v>
      </c>
      <c r="C55" s="207" t="s">
        <v>185</v>
      </c>
      <c r="D55" s="207" t="s">
        <v>499</v>
      </c>
      <c r="E55" s="208" t="b">
        <v>0</v>
      </c>
      <c r="F55" s="206" t="s">
        <v>874</v>
      </c>
      <c r="G55" s="205" t="s">
        <v>1012</v>
      </c>
      <c r="H55" s="205">
        <v>1</v>
      </c>
      <c r="I55" s="205">
        <v>50</v>
      </c>
      <c r="J55" s="205">
        <v>0</v>
      </c>
      <c r="K55" s="205">
        <v>0</v>
      </c>
    </row>
    <row r="56" spans="1:11" x14ac:dyDescent="0.25">
      <c r="A56" s="227">
        <v>55</v>
      </c>
      <c r="B56" s="207" t="s">
        <v>163</v>
      </c>
      <c r="C56" s="207" t="s">
        <v>185</v>
      </c>
      <c r="D56" s="207" t="s">
        <v>493</v>
      </c>
      <c r="E56" s="208" t="b">
        <v>0</v>
      </c>
      <c r="F56" s="206" t="s">
        <v>874</v>
      </c>
      <c r="G56" s="205" t="s">
        <v>1012</v>
      </c>
      <c r="H56" s="205">
        <v>1</v>
      </c>
      <c r="I56" s="205">
        <v>50</v>
      </c>
      <c r="J56" s="205">
        <v>0</v>
      </c>
      <c r="K56" s="205">
        <v>0</v>
      </c>
    </row>
    <row r="57" spans="1:11" x14ac:dyDescent="0.25">
      <c r="A57" s="227">
        <v>56</v>
      </c>
      <c r="B57" s="207" t="s">
        <v>163</v>
      </c>
      <c r="C57" s="207" t="s">
        <v>185</v>
      </c>
      <c r="D57" s="207" t="s">
        <v>490</v>
      </c>
      <c r="E57" s="208" t="b">
        <v>0</v>
      </c>
      <c r="F57" s="206" t="s">
        <v>874</v>
      </c>
      <c r="G57" s="205" t="s">
        <v>1012</v>
      </c>
      <c r="H57" s="205">
        <v>1</v>
      </c>
      <c r="I57" s="205">
        <v>50</v>
      </c>
      <c r="J57" s="205">
        <v>0</v>
      </c>
      <c r="K57" s="205">
        <v>0</v>
      </c>
    </row>
    <row r="58" spans="1:11" x14ac:dyDescent="0.25">
      <c r="A58" s="227">
        <v>57</v>
      </c>
      <c r="B58" s="207" t="s">
        <v>163</v>
      </c>
      <c r="C58" s="207" t="s">
        <v>185</v>
      </c>
      <c r="D58" s="207" t="s">
        <v>484</v>
      </c>
      <c r="E58" s="208" t="b">
        <v>0</v>
      </c>
      <c r="F58" s="206" t="s">
        <v>874</v>
      </c>
      <c r="G58" s="205" t="s">
        <v>1012</v>
      </c>
      <c r="H58" s="205">
        <v>1</v>
      </c>
      <c r="I58" s="205">
        <v>50</v>
      </c>
      <c r="J58" s="205">
        <v>0</v>
      </c>
      <c r="K58" s="205">
        <v>0</v>
      </c>
    </row>
    <row r="59" spans="1:11" x14ac:dyDescent="0.25">
      <c r="A59" s="227">
        <v>58</v>
      </c>
      <c r="B59" s="207" t="s">
        <v>163</v>
      </c>
      <c r="C59" s="207" t="s">
        <v>185</v>
      </c>
      <c r="D59" s="207" t="s">
        <v>502</v>
      </c>
      <c r="E59" s="208" t="b">
        <v>0</v>
      </c>
      <c r="F59" s="206" t="s">
        <v>874</v>
      </c>
      <c r="G59" s="205" t="s">
        <v>1012</v>
      </c>
      <c r="H59" s="205">
        <v>1</v>
      </c>
      <c r="I59" s="205">
        <v>50</v>
      </c>
      <c r="J59" s="205">
        <v>0</v>
      </c>
      <c r="K59" s="205">
        <v>0</v>
      </c>
    </row>
    <row r="60" spans="1:11" x14ac:dyDescent="0.25">
      <c r="A60" s="227">
        <v>59</v>
      </c>
      <c r="B60" s="207" t="s">
        <v>163</v>
      </c>
      <c r="C60" s="207" t="s">
        <v>185</v>
      </c>
      <c r="D60" s="207" t="s">
        <v>505</v>
      </c>
      <c r="E60" s="208" t="b">
        <v>0</v>
      </c>
      <c r="F60" s="206" t="s">
        <v>874</v>
      </c>
      <c r="G60" s="205" t="s">
        <v>1012</v>
      </c>
      <c r="H60" s="205">
        <v>1</v>
      </c>
      <c r="I60" s="205">
        <v>50</v>
      </c>
      <c r="J60" s="205">
        <v>0</v>
      </c>
      <c r="K60" s="205">
        <v>0</v>
      </c>
    </row>
    <row r="61" spans="1:11" x14ac:dyDescent="0.25">
      <c r="A61" s="227">
        <v>60</v>
      </c>
      <c r="B61" s="207" t="s">
        <v>163</v>
      </c>
      <c r="C61" s="207" t="s">
        <v>185</v>
      </c>
      <c r="D61" s="207" t="s">
        <v>487</v>
      </c>
      <c r="E61" s="244" t="str">
        <f>IF(wd_2exud="","Null", wd_2exud)</f>
        <v>Null</v>
      </c>
      <c r="F61" s="206" t="s">
        <v>874</v>
      </c>
      <c r="G61" s="205" t="s">
        <v>1012</v>
      </c>
      <c r="H61" s="205">
        <v>1</v>
      </c>
      <c r="I61" s="205">
        <v>50</v>
      </c>
      <c r="J61" s="205">
        <v>0</v>
      </c>
      <c r="K61" s="205">
        <v>0</v>
      </c>
    </row>
    <row r="62" spans="1:11" x14ac:dyDescent="0.25">
      <c r="A62" s="227">
        <v>61</v>
      </c>
      <c r="B62" s="207" t="s">
        <v>163</v>
      </c>
      <c r="C62" s="207" t="s">
        <v>186</v>
      </c>
      <c r="D62" s="207" t="s">
        <v>509</v>
      </c>
      <c r="E62" s="222" t="str">
        <f>IF(Wnd3Cat="","Null", Wnd3Cat)</f>
        <v>Null</v>
      </c>
      <c r="F62" s="206" t="s">
        <v>870</v>
      </c>
      <c r="G62" s="205" t="s">
        <v>1012</v>
      </c>
      <c r="H62" s="205">
        <v>1</v>
      </c>
      <c r="I62" s="205">
        <v>500</v>
      </c>
      <c r="J62" s="205">
        <v>0</v>
      </c>
      <c r="K62" s="205">
        <v>0</v>
      </c>
    </row>
    <row r="63" spans="1:11" x14ac:dyDescent="0.25">
      <c r="A63" s="227">
        <v>62</v>
      </c>
      <c r="B63" s="207" t="s">
        <v>163</v>
      </c>
      <c r="C63" s="207" t="s">
        <v>186</v>
      </c>
      <c r="D63" s="207" t="s">
        <v>512</v>
      </c>
      <c r="E63" s="222" t="str">
        <f>IF(wd_3loc="","Null", wd_3loc)</f>
        <v>Null</v>
      </c>
      <c r="F63" s="206" t="s">
        <v>871</v>
      </c>
      <c r="G63" s="205" t="s">
        <v>1012</v>
      </c>
      <c r="H63" s="205">
        <v>1</v>
      </c>
      <c r="I63" s="205">
        <v>50</v>
      </c>
      <c r="J63" s="205">
        <v>0</v>
      </c>
      <c r="K63" s="205">
        <v>0</v>
      </c>
    </row>
    <row r="64" spans="1:11" x14ac:dyDescent="0.25">
      <c r="A64" s="227">
        <v>63</v>
      </c>
      <c r="B64" s="207" t="s">
        <v>163</v>
      </c>
      <c r="C64" s="207" t="s">
        <v>186</v>
      </c>
      <c r="D64" s="207" t="s">
        <v>517</v>
      </c>
      <c r="E64" s="222" t="str">
        <f>IF(wd_3type="","Null", wd_3type)</f>
        <v>Null</v>
      </c>
      <c r="F64" s="206" t="s">
        <v>872</v>
      </c>
      <c r="G64" s="205" t="s">
        <v>1012</v>
      </c>
      <c r="H64" s="205">
        <v>1</v>
      </c>
      <c r="I64" s="205">
        <v>500</v>
      </c>
      <c r="J64" s="205">
        <v>0</v>
      </c>
      <c r="K64" s="205">
        <v>0</v>
      </c>
    </row>
    <row r="65" spans="1:11" x14ac:dyDescent="0.25">
      <c r="A65" s="227">
        <v>64</v>
      </c>
      <c r="B65" s="207" t="s">
        <v>163</v>
      </c>
      <c r="C65" s="207" t="s">
        <v>186</v>
      </c>
      <c r="D65" s="207" t="s">
        <v>515</v>
      </c>
      <c r="E65" s="222" t="str">
        <f>IF(wd_3tysub="","Null", wd_3tysub)</f>
        <v>Null</v>
      </c>
      <c r="F65" s="206" t="s">
        <v>873</v>
      </c>
      <c r="G65" s="205" t="s">
        <v>1012</v>
      </c>
      <c r="H65" s="205">
        <v>1</v>
      </c>
      <c r="I65" s="205">
        <v>500</v>
      </c>
      <c r="J65" s="205">
        <v>0</v>
      </c>
      <c r="K65" s="205">
        <v>0</v>
      </c>
    </row>
    <row r="66" spans="1:11" x14ac:dyDescent="0.25">
      <c r="A66" s="227">
        <v>65</v>
      </c>
      <c r="B66" s="207" t="s">
        <v>163</v>
      </c>
      <c r="C66" s="207" t="s">
        <v>186</v>
      </c>
      <c r="D66" s="207" t="s">
        <v>482</v>
      </c>
      <c r="E66" s="222" t="str">
        <f>IF(wd_3chronic="","Null", wd_3chronic)</f>
        <v>Null</v>
      </c>
      <c r="F66" s="206" t="s">
        <v>874</v>
      </c>
      <c r="G66" s="205" t="s">
        <v>1012</v>
      </c>
      <c r="H66" s="205">
        <v>1</v>
      </c>
      <c r="I66" s="205">
        <v>50</v>
      </c>
      <c r="J66" s="205">
        <v>0</v>
      </c>
      <c r="K66" s="205">
        <v>0</v>
      </c>
    </row>
    <row r="67" spans="1:11" x14ac:dyDescent="0.25">
      <c r="A67" s="227">
        <v>66</v>
      </c>
      <c r="B67" s="207" t="s">
        <v>163</v>
      </c>
      <c r="C67" s="207" t="s">
        <v>186</v>
      </c>
      <c r="D67" s="207" t="s">
        <v>497</v>
      </c>
      <c r="E67" s="208" t="b">
        <v>0</v>
      </c>
      <c r="F67" s="206" t="s">
        <v>874</v>
      </c>
      <c r="G67" s="205" t="s">
        <v>1012</v>
      </c>
      <c r="H67" s="205">
        <v>1</v>
      </c>
      <c r="I67" s="205">
        <v>50</v>
      </c>
      <c r="J67" s="205">
        <v>0</v>
      </c>
      <c r="K67" s="205">
        <v>0</v>
      </c>
    </row>
    <row r="68" spans="1:11" x14ac:dyDescent="0.25">
      <c r="A68" s="227">
        <v>67</v>
      </c>
      <c r="B68" s="207" t="s">
        <v>163</v>
      </c>
      <c r="C68" s="207" t="s">
        <v>186</v>
      </c>
      <c r="D68" s="207" t="s">
        <v>460</v>
      </c>
      <c r="E68" s="222" t="str">
        <f>IF(wd_3moist="","Null", wd_3moist)</f>
        <v>Null</v>
      </c>
      <c r="F68" s="206" t="s">
        <v>874</v>
      </c>
      <c r="G68" s="205" t="s">
        <v>1012</v>
      </c>
      <c r="H68" s="205">
        <v>1</v>
      </c>
      <c r="I68" s="205">
        <v>50</v>
      </c>
      <c r="J68" s="205">
        <v>0</v>
      </c>
      <c r="K68" s="205">
        <v>0</v>
      </c>
    </row>
    <row r="69" spans="1:11" x14ac:dyDescent="0.25">
      <c r="A69" s="227">
        <v>68</v>
      </c>
      <c r="B69" s="207" t="s">
        <v>163</v>
      </c>
      <c r="C69" s="207" t="s">
        <v>186</v>
      </c>
      <c r="D69" s="207" t="s">
        <v>463</v>
      </c>
      <c r="E69" s="222" t="str">
        <f>IF(wd_3edge="","Null", wd_3edge)</f>
        <v>Null</v>
      </c>
      <c r="F69" s="206" t="s">
        <v>874</v>
      </c>
      <c r="G69" s="205" t="s">
        <v>1012</v>
      </c>
      <c r="H69" s="205">
        <v>1</v>
      </c>
      <c r="I69" s="205">
        <v>50</v>
      </c>
      <c r="J69" s="205">
        <v>0</v>
      </c>
      <c r="K69" s="205">
        <v>0</v>
      </c>
    </row>
    <row r="70" spans="1:11" x14ac:dyDescent="0.25">
      <c r="A70" s="227">
        <v>69</v>
      </c>
      <c r="B70" s="207" t="s">
        <v>163</v>
      </c>
      <c r="C70" s="207" t="s">
        <v>186</v>
      </c>
      <c r="D70" s="207" t="s">
        <v>466</v>
      </c>
      <c r="E70" s="222" t="str">
        <f>IF(wd_3len="","Null", wd_3len)</f>
        <v>Null</v>
      </c>
      <c r="F70" s="206" t="s">
        <v>874</v>
      </c>
      <c r="G70" s="205" t="s">
        <v>1012</v>
      </c>
      <c r="H70" s="205">
        <v>1</v>
      </c>
      <c r="I70" s="205">
        <v>50</v>
      </c>
      <c r="J70" s="205">
        <v>0</v>
      </c>
      <c r="K70" s="205">
        <v>0</v>
      </c>
    </row>
    <row r="71" spans="1:11" x14ac:dyDescent="0.25">
      <c r="A71" s="227">
        <v>70</v>
      </c>
      <c r="B71" s="207" t="s">
        <v>163</v>
      </c>
      <c r="C71" s="207" t="s">
        <v>186</v>
      </c>
      <c r="D71" s="207" t="s">
        <v>469</v>
      </c>
      <c r="E71" s="222" t="str">
        <f>IF(wd_3wid="","Null", wd_3wid)</f>
        <v>Null</v>
      </c>
      <c r="F71" s="206" t="s">
        <v>874</v>
      </c>
      <c r="G71" s="205" t="s">
        <v>1012</v>
      </c>
      <c r="H71" s="205">
        <v>1</v>
      </c>
      <c r="I71" s="205">
        <v>50</v>
      </c>
      <c r="J71" s="205">
        <v>0</v>
      </c>
      <c r="K71" s="205">
        <v>0</v>
      </c>
    </row>
    <row r="72" spans="1:11" x14ac:dyDescent="0.25">
      <c r="A72" s="227">
        <v>71</v>
      </c>
      <c r="B72" s="207" t="s">
        <v>163</v>
      </c>
      <c r="C72" s="207" t="s">
        <v>186</v>
      </c>
      <c r="D72" s="207" t="s">
        <v>520</v>
      </c>
      <c r="E72" s="222" t="str">
        <f>IF(wd_3dep="","Null", wd_3dep)</f>
        <v>Null</v>
      </c>
      <c r="F72" s="206" t="s">
        <v>874</v>
      </c>
      <c r="G72" s="205" t="s">
        <v>1012</v>
      </c>
      <c r="H72" s="205">
        <v>1</v>
      </c>
      <c r="I72" s="205">
        <v>50</v>
      </c>
      <c r="J72" s="205">
        <v>0</v>
      </c>
      <c r="K72" s="205">
        <v>0</v>
      </c>
    </row>
    <row r="73" spans="1:11" x14ac:dyDescent="0.25">
      <c r="A73" s="227">
        <v>72</v>
      </c>
      <c r="B73" s="207" t="s">
        <v>163</v>
      </c>
      <c r="C73" s="207" t="s">
        <v>186</v>
      </c>
      <c r="D73" s="207" t="s">
        <v>472</v>
      </c>
      <c r="E73" s="222" t="str">
        <f>IF(wnd_3tunl="","Null", wnd_3tunl)</f>
        <v>Null</v>
      </c>
      <c r="F73" s="206" t="s">
        <v>874</v>
      </c>
      <c r="G73" s="205" t="s">
        <v>1012</v>
      </c>
      <c r="H73" s="205">
        <v>1</v>
      </c>
      <c r="I73" s="205">
        <v>50</v>
      </c>
      <c r="J73" s="205">
        <v>0</v>
      </c>
      <c r="K73" s="205">
        <v>0</v>
      </c>
    </row>
    <row r="74" spans="1:11" x14ac:dyDescent="0.25">
      <c r="A74" s="227">
        <v>73</v>
      </c>
      <c r="B74" s="207" t="s">
        <v>163</v>
      </c>
      <c r="C74" s="207" t="s">
        <v>186</v>
      </c>
      <c r="D74" s="207" t="s">
        <v>475</v>
      </c>
      <c r="E74" s="222" t="str">
        <f>IF(wnd_3undm="","Null", wnd_3undm)</f>
        <v>Null</v>
      </c>
      <c r="F74" s="206" t="s">
        <v>874</v>
      </c>
      <c r="G74" s="205" t="s">
        <v>1012</v>
      </c>
      <c r="H74" s="205">
        <v>1</v>
      </c>
      <c r="I74" s="205">
        <v>50</v>
      </c>
      <c r="J74" s="205">
        <v>0</v>
      </c>
      <c r="K74" s="205">
        <v>0</v>
      </c>
    </row>
    <row r="75" spans="1:11" x14ac:dyDescent="0.25">
      <c r="A75" s="227">
        <v>74</v>
      </c>
      <c r="B75" s="207" t="s">
        <v>163</v>
      </c>
      <c r="C75" s="207" t="s">
        <v>186</v>
      </c>
      <c r="D75" s="207" t="s">
        <v>478</v>
      </c>
      <c r="E75" s="244" t="str">
        <f>IF(wnd_3debr="","Null", wnd_3debr)</f>
        <v>Null</v>
      </c>
      <c r="F75" s="206" t="s">
        <v>874</v>
      </c>
      <c r="G75" s="205" t="s">
        <v>1010</v>
      </c>
      <c r="H75" s="205">
        <v>1</v>
      </c>
      <c r="I75" s="205">
        <v>10</v>
      </c>
      <c r="J75" s="205">
        <v>0</v>
      </c>
      <c r="K75" s="205">
        <v>0</v>
      </c>
    </row>
    <row r="76" spans="1:11" x14ac:dyDescent="0.25">
      <c r="A76" s="227">
        <v>75</v>
      </c>
      <c r="B76" s="207" t="s">
        <v>163</v>
      </c>
      <c r="C76" s="207" t="s">
        <v>186</v>
      </c>
      <c r="D76" s="207" t="s">
        <v>500</v>
      </c>
      <c r="E76" s="208" t="b">
        <v>0</v>
      </c>
      <c r="F76" s="206" t="s">
        <v>874</v>
      </c>
      <c r="G76" s="205" t="s">
        <v>1012</v>
      </c>
      <c r="H76" s="205">
        <v>1</v>
      </c>
      <c r="I76" s="205">
        <v>50</v>
      </c>
      <c r="J76" s="205">
        <v>0</v>
      </c>
      <c r="K76" s="205">
        <v>0</v>
      </c>
    </row>
    <row r="77" spans="1:11" x14ac:dyDescent="0.25">
      <c r="A77" s="227">
        <v>76</v>
      </c>
      <c r="B77" s="207" t="s">
        <v>163</v>
      </c>
      <c r="C77" s="207" t="s">
        <v>186</v>
      </c>
      <c r="D77" s="207" t="s">
        <v>494</v>
      </c>
      <c r="E77" s="208" t="b">
        <v>0</v>
      </c>
      <c r="F77" s="206" t="s">
        <v>874</v>
      </c>
      <c r="G77" s="205" t="s">
        <v>1012</v>
      </c>
      <c r="H77" s="205">
        <v>1</v>
      </c>
      <c r="I77" s="205">
        <v>50</v>
      </c>
      <c r="J77" s="205">
        <v>0</v>
      </c>
      <c r="K77" s="205">
        <v>0</v>
      </c>
    </row>
    <row r="78" spans="1:11" x14ac:dyDescent="0.25">
      <c r="A78" s="227">
        <v>77</v>
      </c>
      <c r="B78" s="207" t="s">
        <v>163</v>
      </c>
      <c r="C78" s="207" t="s">
        <v>186</v>
      </c>
      <c r="D78" s="207" t="s">
        <v>491</v>
      </c>
      <c r="E78" s="208" t="b">
        <v>0</v>
      </c>
      <c r="F78" s="206" t="s">
        <v>874</v>
      </c>
      <c r="G78" s="205" t="s">
        <v>1012</v>
      </c>
      <c r="H78" s="205">
        <v>1</v>
      </c>
      <c r="I78" s="205">
        <v>50</v>
      </c>
      <c r="J78" s="205">
        <v>0</v>
      </c>
      <c r="K78" s="205">
        <v>0</v>
      </c>
    </row>
    <row r="79" spans="1:11" x14ac:dyDescent="0.25">
      <c r="A79" s="227">
        <v>78</v>
      </c>
      <c r="B79" s="207" t="s">
        <v>163</v>
      </c>
      <c r="C79" s="207" t="s">
        <v>186</v>
      </c>
      <c r="D79" s="207" t="s">
        <v>485</v>
      </c>
      <c r="E79" s="208" t="b">
        <v>0</v>
      </c>
      <c r="F79" s="206" t="s">
        <v>874</v>
      </c>
      <c r="G79" s="205" t="s">
        <v>1012</v>
      </c>
      <c r="H79" s="205">
        <v>1</v>
      </c>
      <c r="I79" s="205">
        <v>50</v>
      </c>
      <c r="J79" s="205">
        <v>0</v>
      </c>
      <c r="K79" s="205">
        <v>0</v>
      </c>
    </row>
    <row r="80" spans="1:11" x14ac:dyDescent="0.25">
      <c r="A80" s="227">
        <v>79</v>
      </c>
      <c r="B80" s="207" t="s">
        <v>163</v>
      </c>
      <c r="C80" s="207" t="s">
        <v>186</v>
      </c>
      <c r="D80" s="207" t="s">
        <v>503</v>
      </c>
      <c r="E80" s="208" t="b">
        <v>0</v>
      </c>
      <c r="F80" s="206" t="s">
        <v>874</v>
      </c>
      <c r="G80" s="205" t="s">
        <v>1012</v>
      </c>
      <c r="H80" s="205">
        <v>1</v>
      </c>
      <c r="I80" s="205">
        <v>50</v>
      </c>
      <c r="J80" s="205">
        <v>0</v>
      </c>
      <c r="K80" s="205">
        <v>0</v>
      </c>
    </row>
    <row r="81" spans="1:11" x14ac:dyDescent="0.25">
      <c r="A81" s="227">
        <v>80</v>
      </c>
      <c r="B81" s="207" t="s">
        <v>163</v>
      </c>
      <c r="C81" s="207" t="s">
        <v>186</v>
      </c>
      <c r="D81" s="207" t="s">
        <v>506</v>
      </c>
      <c r="E81" s="208" t="b">
        <v>0</v>
      </c>
      <c r="F81" s="206" t="s">
        <v>874</v>
      </c>
      <c r="G81" s="205" t="s">
        <v>1012</v>
      </c>
      <c r="H81" s="205">
        <v>1</v>
      </c>
      <c r="I81" s="205">
        <v>50</v>
      </c>
      <c r="J81" s="205">
        <v>0</v>
      </c>
      <c r="K81" s="205">
        <v>0</v>
      </c>
    </row>
    <row r="82" spans="1:11" x14ac:dyDescent="0.25">
      <c r="A82" s="227">
        <v>81</v>
      </c>
      <c r="B82" s="207" t="s">
        <v>163</v>
      </c>
      <c r="C82" s="207" t="s">
        <v>186</v>
      </c>
      <c r="D82" s="207" t="s">
        <v>488</v>
      </c>
      <c r="E82" s="244" t="str">
        <f>IF(wd_3exud="","Null", wd_3exud)</f>
        <v>Null</v>
      </c>
      <c r="F82" s="206" t="s">
        <v>874</v>
      </c>
      <c r="G82" s="205" t="s">
        <v>1012</v>
      </c>
      <c r="H82" s="205">
        <v>1</v>
      </c>
      <c r="I82" s="205">
        <v>50</v>
      </c>
      <c r="J82" s="205">
        <v>0</v>
      </c>
      <c r="K82" s="205">
        <v>0</v>
      </c>
    </row>
    <row r="83" spans="1:11" x14ac:dyDescent="0.25">
      <c r="A83" s="227">
        <v>82</v>
      </c>
      <c r="B83" s="207" t="s">
        <v>163</v>
      </c>
      <c r="C83" s="207" t="s">
        <v>193</v>
      </c>
      <c r="D83" s="207" t="s">
        <v>194</v>
      </c>
      <c r="E83" s="222" t="str">
        <f>IF(wd_medhist="","Null","""" &amp; CLEAN(SUBSTITUTE(wd_medhist,CHAR(10)," ")) &amp; """")</f>
        <v>Null</v>
      </c>
      <c r="F83" s="206" t="s">
        <v>882</v>
      </c>
      <c r="G83" s="205" t="s">
        <v>1012</v>
      </c>
      <c r="H83" s="205">
        <v>1</v>
      </c>
      <c r="I83" s="205">
        <v>1000</v>
      </c>
      <c r="J83" s="205">
        <v>0</v>
      </c>
      <c r="K83" s="205">
        <v>0</v>
      </c>
    </row>
    <row r="84" spans="1:11" x14ac:dyDescent="0.25">
      <c r="A84" s="227">
        <v>83</v>
      </c>
      <c r="B84" s="207" t="s">
        <v>163</v>
      </c>
      <c r="C84" s="207" t="s">
        <v>193</v>
      </c>
      <c r="D84" s="207" t="s">
        <v>458</v>
      </c>
      <c r="E84" s="222" t="str">
        <f>IF(ConventionalTrtmnt="","Null","""" &amp; CLEAN(SUBSTITUTE(ConventionalTrtmnt,CHAR(10)," ")) &amp; """")</f>
        <v>Null</v>
      </c>
      <c r="F84" s="206" t="s">
        <v>882</v>
      </c>
      <c r="G84" s="205" t="s">
        <v>1012</v>
      </c>
      <c r="H84" s="205">
        <v>1</v>
      </c>
      <c r="I84" s="205">
        <v>1000</v>
      </c>
      <c r="J84" s="205">
        <v>0</v>
      </c>
      <c r="K84" s="205">
        <v>0</v>
      </c>
    </row>
    <row r="85" spans="1:11" x14ac:dyDescent="0.25">
      <c r="A85" s="227">
        <v>84</v>
      </c>
      <c r="B85" s="207" t="s">
        <v>163</v>
      </c>
      <c r="C85" s="207" t="s">
        <v>193</v>
      </c>
      <c r="D85" s="207" t="s">
        <v>195</v>
      </c>
      <c r="E85" s="208" t="b">
        <v>0</v>
      </c>
      <c r="F85" s="206" t="s">
        <v>882</v>
      </c>
      <c r="G85" s="205" t="s">
        <v>1012</v>
      </c>
      <c r="H85" s="205">
        <v>1</v>
      </c>
      <c r="I85" s="205">
        <v>50</v>
      </c>
      <c r="J85" s="205">
        <v>0</v>
      </c>
      <c r="K85" s="205">
        <v>0</v>
      </c>
    </row>
    <row r="86" spans="1:11" x14ac:dyDescent="0.25">
      <c r="A86" s="227">
        <v>85</v>
      </c>
      <c r="B86" s="207" t="s">
        <v>163</v>
      </c>
      <c r="C86" s="207" t="s">
        <v>193</v>
      </c>
      <c r="D86" s="207" t="s">
        <v>196</v>
      </c>
      <c r="E86" s="208" t="b">
        <v>0</v>
      </c>
      <c r="F86" s="206" t="s">
        <v>882</v>
      </c>
      <c r="G86" s="205" t="s">
        <v>1012</v>
      </c>
      <c r="H86" s="205">
        <v>1</v>
      </c>
      <c r="I86" s="205">
        <v>50</v>
      </c>
      <c r="J86" s="205">
        <v>0</v>
      </c>
      <c r="K86" s="205">
        <v>0</v>
      </c>
    </row>
    <row r="87" spans="1:11" x14ac:dyDescent="0.25">
      <c r="A87" s="227">
        <v>86</v>
      </c>
      <c r="B87" s="207" t="s">
        <v>163</v>
      </c>
      <c r="C87" s="207" t="s">
        <v>193</v>
      </c>
      <c r="D87" s="207" t="s">
        <v>1036</v>
      </c>
      <c r="E87" s="222" t="str">
        <f>IF(AssTrPlDesc="","Null","""" &amp; CLEAN(SUBSTITUTE(AssTrPlDesc,CHAR(10)," ")) &amp; """")</f>
        <v>Null</v>
      </c>
      <c r="F87" s="206" t="s">
        <v>882</v>
      </c>
      <c r="G87" s="205" t="s">
        <v>1012</v>
      </c>
      <c r="H87" s="205">
        <v>1</v>
      </c>
      <c r="I87" s="205">
        <v>1000</v>
      </c>
      <c r="J87" s="205">
        <v>0</v>
      </c>
      <c r="K87" s="205">
        <v>0</v>
      </c>
    </row>
    <row r="88" spans="1:11" x14ac:dyDescent="0.25">
      <c r="A88" s="227">
        <v>87</v>
      </c>
      <c r="B88" s="207" t="s">
        <v>163</v>
      </c>
      <c r="C88" s="207" t="s">
        <v>193</v>
      </c>
      <c r="D88" s="207" t="s">
        <v>198</v>
      </c>
      <c r="E88" s="222" t="str">
        <f>IF(wd_diagprime="","Null", CLEAN(wd_diagprime))</f>
        <v>Null</v>
      </c>
      <c r="F88" s="206" t="s">
        <v>882</v>
      </c>
      <c r="G88" s="205" t="s">
        <v>1012</v>
      </c>
      <c r="H88" s="205">
        <v>1</v>
      </c>
      <c r="I88" s="205">
        <v>1000</v>
      </c>
      <c r="J88" s="205">
        <v>0</v>
      </c>
      <c r="K88" s="205">
        <v>0</v>
      </c>
    </row>
    <row r="89" spans="1:11" x14ac:dyDescent="0.25">
      <c r="A89" s="227">
        <v>88</v>
      </c>
      <c r="B89" s="207" t="s">
        <v>163</v>
      </c>
      <c r="C89" s="207" t="s">
        <v>193</v>
      </c>
      <c r="D89" s="207" t="s">
        <v>199</v>
      </c>
      <c r="E89" s="222" t="str">
        <f>IF(wd_diagsecond="","Null", CLEAN(wd_diagsecond))</f>
        <v>Null</v>
      </c>
      <c r="F89" s="206" t="s">
        <v>882</v>
      </c>
      <c r="G89" s="205" t="s">
        <v>1012</v>
      </c>
      <c r="H89" s="205">
        <v>1</v>
      </c>
      <c r="I89" s="205">
        <v>1000</v>
      </c>
      <c r="J89" s="205">
        <v>0</v>
      </c>
      <c r="K89" s="205">
        <v>0</v>
      </c>
    </row>
    <row r="90" spans="1:11" x14ac:dyDescent="0.25">
      <c r="A90" s="227">
        <v>89</v>
      </c>
      <c r="B90" s="207" t="s">
        <v>163</v>
      </c>
      <c r="C90" s="207" t="s">
        <v>193</v>
      </c>
      <c r="D90" s="207" t="s">
        <v>200</v>
      </c>
      <c r="E90" s="222" t="str">
        <f>IF(wd_icd10="","Null", wd_icd10)</f>
        <v>Null</v>
      </c>
      <c r="F90" s="206" t="s">
        <v>882</v>
      </c>
      <c r="G90" s="205" t="s">
        <v>1012</v>
      </c>
      <c r="H90" s="205">
        <v>1</v>
      </c>
      <c r="I90" s="205">
        <v>100</v>
      </c>
      <c r="J90" s="205">
        <v>0</v>
      </c>
      <c r="K90" s="205">
        <v>0</v>
      </c>
    </row>
    <row r="91" spans="1:11" x14ac:dyDescent="0.25">
      <c r="A91" s="227">
        <v>90</v>
      </c>
      <c r="B91" s="207" t="s">
        <v>163</v>
      </c>
      <c r="C91" s="207" t="s">
        <v>193</v>
      </c>
      <c r="D91" s="207" t="s">
        <v>397</v>
      </c>
      <c r="E91" s="222" t="str">
        <f>IF(wd_SolutionVacUlta="","Null","""" &amp; CLEAN(SUBSTITUTE(wd_SolutionVacUlta,CHAR(10)," ")) &amp; """")</f>
        <v>Null</v>
      </c>
      <c r="F91" s="206" t="s">
        <v>882</v>
      </c>
      <c r="G91" s="205" t="s">
        <v>1012</v>
      </c>
      <c r="H91" s="205">
        <v>1</v>
      </c>
      <c r="I91" s="205">
        <v>1000</v>
      </c>
      <c r="J91" s="205">
        <v>0</v>
      </c>
      <c r="K91" s="205">
        <v>0</v>
      </c>
    </row>
    <row r="92" spans="1:11" x14ac:dyDescent="0.25">
      <c r="A92" s="227">
        <v>91</v>
      </c>
      <c r="B92" s="207" t="s">
        <v>163</v>
      </c>
      <c r="C92" s="207" t="s">
        <v>193</v>
      </c>
      <c r="D92" s="207" t="s">
        <v>909</v>
      </c>
      <c r="E92" s="222" t="s">
        <v>1133</v>
      </c>
      <c r="F92" s="206" t="s">
        <v>882</v>
      </c>
      <c r="G92" s="205" t="s">
        <v>1012</v>
      </c>
      <c r="H92" s="205">
        <v>1</v>
      </c>
      <c r="I92" s="205">
        <v>1000</v>
      </c>
      <c r="J92" s="205">
        <v>0</v>
      </c>
      <c r="K92" s="205">
        <v>0</v>
      </c>
    </row>
    <row r="93" spans="1:11" x14ac:dyDescent="0.25">
      <c r="A93" s="227">
        <v>92</v>
      </c>
      <c r="B93" s="207" t="s">
        <v>163</v>
      </c>
      <c r="C93" s="207" t="s">
        <v>193</v>
      </c>
      <c r="D93" s="207" t="s">
        <v>396</v>
      </c>
      <c r="E93" s="222" t="str">
        <f>IF(wd_medication="","Null","""" &amp; CLEAN(SUBSTITUTE(wd_medication,CHAR(10)," ")) &amp; """")</f>
        <v>Null</v>
      </c>
      <c r="F93" s="206" t="s">
        <v>882</v>
      </c>
      <c r="G93" s="205" t="s">
        <v>1012</v>
      </c>
      <c r="H93" s="205">
        <v>1</v>
      </c>
      <c r="I93" s="205">
        <v>1000</v>
      </c>
      <c r="J93" s="205">
        <v>0</v>
      </c>
      <c r="K93" s="205">
        <v>0</v>
      </c>
    </row>
    <row r="94" spans="1:11" x14ac:dyDescent="0.25">
      <c r="A94" s="227">
        <v>93</v>
      </c>
      <c r="B94" s="207" t="s">
        <v>163</v>
      </c>
      <c r="C94" s="207" t="s">
        <v>398</v>
      </c>
      <c r="D94" s="207" t="s">
        <v>399</v>
      </c>
      <c r="E94" s="222" t="str">
        <f>IF(pers_NextOfKin="","Null", pers_NextOfKin)</f>
        <v>Null</v>
      </c>
      <c r="F94" s="206" t="s">
        <v>868</v>
      </c>
      <c r="G94" s="205" t="s">
        <v>1012</v>
      </c>
      <c r="H94" s="205">
        <v>1</v>
      </c>
      <c r="I94" s="205">
        <v>50</v>
      </c>
      <c r="J94" s="205">
        <v>0</v>
      </c>
      <c r="K94" s="205">
        <v>0</v>
      </c>
    </row>
    <row r="95" spans="1:11" x14ac:dyDescent="0.25">
      <c r="A95" s="227">
        <v>94</v>
      </c>
      <c r="B95" s="207" t="s">
        <v>163</v>
      </c>
      <c r="C95" s="207" t="s">
        <v>398</v>
      </c>
      <c r="D95" s="207" t="s">
        <v>400</v>
      </c>
      <c r="E95" s="222" t="str">
        <f>IF(pers_NextOfKinPhone="","Null", pers_NextOfKinPhone)</f>
        <v>Null</v>
      </c>
      <c r="F95" s="206" t="s">
        <v>868</v>
      </c>
      <c r="G95" s="205" t="s">
        <v>1012</v>
      </c>
      <c r="H95" s="205">
        <v>1</v>
      </c>
      <c r="I95" s="205">
        <v>50</v>
      </c>
      <c r="J95" s="205">
        <v>0</v>
      </c>
      <c r="K95" s="205">
        <v>0</v>
      </c>
    </row>
    <row r="96" spans="1:11" x14ac:dyDescent="0.25">
      <c r="A96" s="227">
        <v>95</v>
      </c>
      <c r="B96" s="207" t="s">
        <v>163</v>
      </c>
      <c r="C96" s="207" t="s">
        <v>398</v>
      </c>
      <c r="D96" s="207" t="s">
        <v>401</v>
      </c>
      <c r="E96" s="222" t="str">
        <f>IF(pers_NextOfKinRelation="","Null", pers_NextOfKinRelation)</f>
        <v>Null</v>
      </c>
      <c r="F96" s="206" t="s">
        <v>868</v>
      </c>
      <c r="G96" s="205" t="s">
        <v>1012</v>
      </c>
      <c r="H96" s="205">
        <v>1</v>
      </c>
      <c r="I96" s="205">
        <v>50</v>
      </c>
      <c r="J96" s="205">
        <v>0</v>
      </c>
      <c r="K96" s="205">
        <v>0</v>
      </c>
    </row>
    <row r="97" spans="1:11" x14ac:dyDescent="0.25">
      <c r="A97" s="227">
        <v>96</v>
      </c>
      <c r="B97" s="207" t="s">
        <v>163</v>
      </c>
      <c r="C97" s="207" t="s">
        <v>398</v>
      </c>
      <c r="D97" s="207" t="s">
        <v>402</v>
      </c>
      <c r="E97" s="222" t="str">
        <f>IF(pers_MainMem="","Null", pers_MainMem)</f>
        <v>Null</v>
      </c>
      <c r="F97" s="206" t="s">
        <v>868</v>
      </c>
      <c r="G97" s="205" t="s">
        <v>1012</v>
      </c>
      <c r="H97" s="205">
        <v>1</v>
      </c>
      <c r="I97" s="205">
        <v>50</v>
      </c>
      <c r="J97" s="205">
        <v>0</v>
      </c>
      <c r="K97" s="205">
        <v>0</v>
      </c>
    </row>
    <row r="98" spans="1:11" x14ac:dyDescent="0.25">
      <c r="A98" s="227">
        <v>97</v>
      </c>
      <c r="B98" s="207" t="s">
        <v>163</v>
      </c>
      <c r="C98" s="207" t="s">
        <v>398</v>
      </c>
      <c r="D98" s="205" t="s">
        <v>403</v>
      </c>
      <c r="E98" s="222" t="str">
        <f>IF(pers_MainMemID="","Null", pers_MainMemID)</f>
        <v>Null</v>
      </c>
      <c r="F98" s="206" t="s">
        <v>868</v>
      </c>
      <c r="G98" s="205" t="s">
        <v>1012</v>
      </c>
      <c r="H98" s="205">
        <v>1</v>
      </c>
      <c r="I98" s="205">
        <v>50</v>
      </c>
      <c r="J98" s="205">
        <v>0</v>
      </c>
      <c r="K98" s="205">
        <v>0</v>
      </c>
    </row>
    <row r="99" spans="1:11" x14ac:dyDescent="0.25">
      <c r="A99" s="227">
        <v>98</v>
      </c>
      <c r="B99" s="207" t="s">
        <v>163</v>
      </c>
      <c r="C99" s="207" t="s">
        <v>398</v>
      </c>
      <c r="D99" s="207" t="s">
        <v>404</v>
      </c>
      <c r="E99" s="222" t="s">
        <v>1133</v>
      </c>
      <c r="F99" s="206" t="s">
        <v>868</v>
      </c>
      <c r="G99" s="205" t="s">
        <v>1012</v>
      </c>
      <c r="H99" s="205">
        <v>1</v>
      </c>
      <c r="I99" s="205">
        <v>50</v>
      </c>
      <c r="J99" s="205">
        <v>0</v>
      </c>
      <c r="K99" s="205">
        <v>0</v>
      </c>
    </row>
    <row r="100" spans="1:11" x14ac:dyDescent="0.25">
      <c r="A100" s="227">
        <v>99</v>
      </c>
      <c r="B100" s="207" t="s">
        <v>163</v>
      </c>
      <c r="C100" s="207" t="s">
        <v>398</v>
      </c>
      <c r="D100" s="207" t="s">
        <v>405</v>
      </c>
      <c r="E100" s="222" t="s">
        <v>1133</v>
      </c>
      <c r="F100" s="206" t="s">
        <v>868</v>
      </c>
      <c r="G100" s="205" t="s">
        <v>1012</v>
      </c>
      <c r="H100" s="205">
        <v>1</v>
      </c>
      <c r="I100" s="205">
        <v>50</v>
      </c>
      <c r="J100" s="205">
        <v>0</v>
      </c>
      <c r="K100" s="205">
        <v>0</v>
      </c>
    </row>
    <row r="101" spans="1:11" x14ac:dyDescent="0.25">
      <c r="A101" s="227">
        <v>100</v>
      </c>
      <c r="B101" s="207" t="s">
        <v>163</v>
      </c>
      <c r="C101" s="207" t="s">
        <v>398</v>
      </c>
      <c r="D101" s="207" t="s">
        <v>406</v>
      </c>
      <c r="E101" s="222" t="str">
        <f>IF(pers_DocPhone="","Null", pers_DocPhone)</f>
        <v>Null</v>
      </c>
      <c r="F101" s="206" t="s">
        <v>869</v>
      </c>
      <c r="G101" s="205" t="s">
        <v>1012</v>
      </c>
      <c r="H101" s="205">
        <v>1</v>
      </c>
      <c r="I101" s="205">
        <v>50</v>
      </c>
      <c r="J101" s="205">
        <v>0</v>
      </c>
      <c r="K101" s="205">
        <v>0</v>
      </c>
    </row>
    <row r="102" spans="1:11" x14ac:dyDescent="0.25">
      <c r="A102" s="227">
        <v>101</v>
      </c>
      <c r="B102" s="207" t="s">
        <v>407</v>
      </c>
      <c r="C102" s="207" t="s">
        <v>165</v>
      </c>
      <c r="D102" s="205" t="s">
        <v>408</v>
      </c>
      <c r="E102" s="244" t="str">
        <f>IF(pr_date="","Null", pr_date)</f>
        <v>Null</v>
      </c>
      <c r="F102" s="206" t="s">
        <v>869</v>
      </c>
      <c r="G102" s="205" t="s">
        <v>1010</v>
      </c>
      <c r="H102" s="205">
        <v>1</v>
      </c>
      <c r="I102" s="205">
        <v>10</v>
      </c>
      <c r="J102" s="205">
        <v>1</v>
      </c>
      <c r="K102" s="205">
        <f>IF(E102="Null", 0, 1)</f>
        <v>0</v>
      </c>
    </row>
    <row r="103" spans="1:11" x14ac:dyDescent="0.25">
      <c r="A103" s="227">
        <v>102</v>
      </c>
      <c r="B103" s="207" t="s">
        <v>407</v>
      </c>
      <c r="C103" s="207" t="s">
        <v>165</v>
      </c>
      <c r="D103" s="205" t="s">
        <v>410</v>
      </c>
      <c r="E103" s="222" t="str">
        <f>IF(pr_Location="","Null", pr_Location)</f>
        <v>Null</v>
      </c>
      <c r="F103" s="206" t="s">
        <v>869</v>
      </c>
      <c r="G103" s="205" t="s">
        <v>1012</v>
      </c>
      <c r="H103" s="205">
        <v>1</v>
      </c>
      <c r="I103" s="205">
        <v>50</v>
      </c>
      <c r="J103" s="205">
        <v>0</v>
      </c>
      <c r="K103" s="205">
        <v>0</v>
      </c>
    </row>
    <row r="104" spans="1:11" x14ac:dyDescent="0.25">
      <c r="A104" s="227">
        <v>103</v>
      </c>
      <c r="B104" s="207" t="s">
        <v>407</v>
      </c>
      <c r="C104" s="207" t="s">
        <v>165</v>
      </c>
      <c r="D104" s="205" t="s">
        <v>928</v>
      </c>
      <c r="E104" s="222" t="str">
        <f>IF(pr_otherlocation="","Null", pr_otherlocation)</f>
        <v>Null</v>
      </c>
      <c r="F104" s="206" t="s">
        <v>869</v>
      </c>
      <c r="G104" s="205" t="s">
        <v>1012</v>
      </c>
      <c r="H104" s="205">
        <v>1</v>
      </c>
      <c r="I104" s="205">
        <v>50</v>
      </c>
      <c r="J104" s="205">
        <v>0</v>
      </c>
      <c r="K104" s="205">
        <v>0</v>
      </c>
    </row>
    <row r="105" spans="1:11" x14ac:dyDescent="0.25">
      <c r="A105" s="227">
        <v>104</v>
      </c>
      <c r="B105" s="207" t="s">
        <v>407</v>
      </c>
      <c r="C105" s="207" t="s">
        <v>165</v>
      </c>
      <c r="D105" s="205" t="s">
        <v>409</v>
      </c>
      <c r="E105" s="222" t="str">
        <f>IF(pr_Hospital="","Null", pr_Hospital)</f>
        <v>Null</v>
      </c>
      <c r="F105" s="206" t="s">
        <v>869</v>
      </c>
      <c r="G105" s="205" t="s">
        <v>1012</v>
      </c>
      <c r="H105" s="205">
        <v>1</v>
      </c>
      <c r="I105" s="205">
        <v>50</v>
      </c>
      <c r="J105" s="205">
        <v>0</v>
      </c>
      <c r="K105" s="205">
        <v>0</v>
      </c>
    </row>
    <row r="106" spans="1:11" x14ac:dyDescent="0.25">
      <c r="A106" s="227">
        <v>105</v>
      </c>
      <c r="B106" s="207" t="s">
        <v>407</v>
      </c>
      <c r="C106" s="207" t="s">
        <v>165</v>
      </c>
      <c r="D106" s="205" t="s">
        <v>411</v>
      </c>
      <c r="E106" s="222" t="str">
        <f>IF(pr_ward="","Null", pr_ward)</f>
        <v>Null</v>
      </c>
      <c r="F106" s="206" t="s">
        <v>869</v>
      </c>
      <c r="G106" s="205" t="s">
        <v>1012</v>
      </c>
      <c r="H106" s="205">
        <v>1</v>
      </c>
      <c r="I106" s="205">
        <v>50</v>
      </c>
      <c r="J106" s="205">
        <v>0</v>
      </c>
      <c r="K106" s="205">
        <v>0</v>
      </c>
    </row>
    <row r="107" spans="1:11" x14ac:dyDescent="0.25">
      <c r="A107" s="227">
        <v>106</v>
      </c>
      <c r="B107" s="207" t="s">
        <v>407</v>
      </c>
      <c r="C107" s="207" t="s">
        <v>165</v>
      </c>
      <c r="D107" s="205" t="s">
        <v>412</v>
      </c>
      <c r="E107" s="222" t="str">
        <f>IF(ISERROR(VLOOKUP(pr_Territory,Regions!A:B,2,0)),"Null", VLOOKUP(pr_Territory,Regions!A:B,2,0))</f>
        <v>Null</v>
      </c>
      <c r="F107" s="206" t="s">
        <v>869</v>
      </c>
      <c r="G107" s="205" t="s">
        <v>1012</v>
      </c>
      <c r="H107" s="205">
        <v>1</v>
      </c>
      <c r="I107" s="205">
        <v>50</v>
      </c>
      <c r="J107" s="205">
        <v>1</v>
      </c>
      <c r="K107" s="205">
        <f>IF(E107="Null", 0, 1)</f>
        <v>0</v>
      </c>
    </row>
    <row r="108" spans="1:11" x14ac:dyDescent="0.25">
      <c r="A108" s="227">
        <v>107</v>
      </c>
      <c r="B108" s="207" t="s">
        <v>201</v>
      </c>
      <c r="C108" s="207" t="s">
        <v>165</v>
      </c>
      <c r="D108" s="207" t="s">
        <v>174</v>
      </c>
      <c r="E108" s="222" t="str">
        <f>IF(SO_Location="","Null", SO_Location)</f>
        <v>Null</v>
      </c>
      <c r="F108" s="206" t="s">
        <v>869</v>
      </c>
      <c r="G108" s="205" t="s">
        <v>1012</v>
      </c>
      <c r="H108" s="205">
        <v>1</v>
      </c>
      <c r="I108" s="205">
        <v>50</v>
      </c>
      <c r="J108" s="205">
        <v>0</v>
      </c>
      <c r="K108" s="205">
        <v>0</v>
      </c>
    </row>
    <row r="109" spans="1:11" x14ac:dyDescent="0.25">
      <c r="A109" s="227">
        <v>108</v>
      </c>
      <c r="B109" s="207" t="s">
        <v>201</v>
      </c>
      <c r="C109" s="207" t="s">
        <v>165</v>
      </c>
      <c r="D109" s="207" t="s">
        <v>175</v>
      </c>
      <c r="E109" s="222" t="str">
        <f>IF(SO_Hospital="","Null", SO_Hospital)</f>
        <v>Null</v>
      </c>
      <c r="F109" s="206" t="s">
        <v>869</v>
      </c>
      <c r="G109" s="205" t="s">
        <v>1012</v>
      </c>
      <c r="H109" s="205">
        <v>1</v>
      </c>
      <c r="I109" s="205">
        <v>50</v>
      </c>
      <c r="J109" s="205">
        <v>0</v>
      </c>
      <c r="K109" s="205">
        <v>0</v>
      </c>
    </row>
    <row r="110" spans="1:11" x14ac:dyDescent="0.25">
      <c r="A110" s="227">
        <v>109</v>
      </c>
      <c r="B110" s="207" t="s">
        <v>201</v>
      </c>
      <c r="C110" s="207" t="s">
        <v>165</v>
      </c>
      <c r="D110" s="207" t="s">
        <v>176</v>
      </c>
      <c r="E110" s="222" t="str">
        <f>IF(SO_Ward="","Null", SO_Ward)</f>
        <v>Null</v>
      </c>
      <c r="F110" s="206" t="s">
        <v>869</v>
      </c>
      <c r="G110" s="205" t="s">
        <v>1012</v>
      </c>
      <c r="H110" s="205">
        <v>1</v>
      </c>
      <c r="I110" s="205">
        <v>50</v>
      </c>
      <c r="J110" s="205">
        <v>0</v>
      </c>
      <c r="K110" s="205">
        <v>0</v>
      </c>
    </row>
    <row r="111" spans="1:11" x14ac:dyDescent="0.25">
      <c r="A111" s="227">
        <v>110</v>
      </c>
      <c r="B111" s="207" t="s">
        <v>201</v>
      </c>
      <c r="C111" s="207" t="s">
        <v>165</v>
      </c>
      <c r="D111" s="207" t="s">
        <v>177</v>
      </c>
      <c r="E111" s="244" t="str">
        <f>IF(pd_hospdate="","Null", pd_hospdate)</f>
        <v>Null</v>
      </c>
      <c r="F111" s="206" t="s">
        <v>869</v>
      </c>
      <c r="G111" s="205" t="s">
        <v>1010</v>
      </c>
      <c r="H111" s="205">
        <v>1</v>
      </c>
      <c r="I111" s="205">
        <v>10</v>
      </c>
      <c r="J111" s="205">
        <v>0</v>
      </c>
      <c r="K111" s="205">
        <v>0</v>
      </c>
    </row>
    <row r="112" spans="1:11" x14ac:dyDescent="0.25">
      <c r="A112" s="227">
        <v>111</v>
      </c>
      <c r="B112" s="207" t="s">
        <v>201</v>
      </c>
      <c r="C112" s="207" t="s">
        <v>165</v>
      </c>
      <c r="D112" s="207" t="s">
        <v>101</v>
      </c>
      <c r="E112" s="222" t="str">
        <f>IF(ISERROR(VLOOKUP(SO_Territory,Regions!A:B,2,0)),"Null", VLOOKUP(SO_Territory,Regions!A:B,2,0))</f>
        <v>Null</v>
      </c>
      <c r="F112" s="206" t="s">
        <v>869</v>
      </c>
      <c r="G112" s="205" t="s">
        <v>1012</v>
      </c>
      <c r="H112" s="205">
        <v>1</v>
      </c>
      <c r="I112" s="205">
        <v>50</v>
      </c>
      <c r="J112" s="205">
        <v>0</v>
      </c>
      <c r="K112" s="205">
        <v>0</v>
      </c>
    </row>
    <row r="113" spans="1:11" x14ac:dyDescent="0.25">
      <c r="A113" s="227">
        <v>112</v>
      </c>
      <c r="B113" s="207" t="s">
        <v>201</v>
      </c>
      <c r="C113" s="207" t="s">
        <v>165</v>
      </c>
      <c r="D113" s="207" t="s">
        <v>178</v>
      </c>
      <c r="E113" s="222" t="str">
        <f>IF(pd_drname="","Null", pd_drname)</f>
        <v>Null</v>
      </c>
      <c r="F113" s="206" t="s">
        <v>869</v>
      </c>
      <c r="G113" s="205" t="s">
        <v>1012</v>
      </c>
      <c r="H113" s="205">
        <v>1</v>
      </c>
      <c r="I113" s="205">
        <v>50</v>
      </c>
      <c r="J113" s="205">
        <v>0</v>
      </c>
      <c r="K113" s="205">
        <v>0</v>
      </c>
    </row>
    <row r="114" spans="1:11" x14ac:dyDescent="0.25">
      <c r="A114" s="227">
        <v>113</v>
      </c>
      <c r="B114" s="207" t="s">
        <v>201</v>
      </c>
      <c r="C114" s="207" t="s">
        <v>165</v>
      </c>
      <c r="D114" s="207" t="s">
        <v>179</v>
      </c>
      <c r="E114" s="222" t="str">
        <f>IF(pd_drno="","Null", pd_drno)</f>
        <v>Null</v>
      </c>
      <c r="F114" s="206" t="s">
        <v>869</v>
      </c>
      <c r="G114" s="205" t="s">
        <v>1009</v>
      </c>
      <c r="H114" s="205">
        <v>1</v>
      </c>
      <c r="I114" s="205">
        <v>7</v>
      </c>
      <c r="J114" s="205">
        <v>0</v>
      </c>
      <c r="K114" s="205">
        <v>0</v>
      </c>
    </row>
    <row r="115" spans="1:11" x14ac:dyDescent="0.25">
      <c r="A115" s="227">
        <v>114</v>
      </c>
      <c r="B115" s="207" t="s">
        <v>201</v>
      </c>
      <c r="C115" s="207" t="s">
        <v>165</v>
      </c>
      <c r="D115" s="207" t="s">
        <v>456</v>
      </c>
      <c r="E115" s="244" t="str">
        <f>IF(Date_Ordered="","Null", Date_Ordered)</f>
        <v>Null</v>
      </c>
      <c r="F115" s="206" t="s">
        <v>869</v>
      </c>
      <c r="G115" s="205" t="s">
        <v>1010</v>
      </c>
      <c r="H115" s="205">
        <v>1</v>
      </c>
      <c r="I115" s="205">
        <v>10</v>
      </c>
      <c r="J115" s="205">
        <v>0</v>
      </c>
      <c r="K115" s="205">
        <v>0</v>
      </c>
    </row>
    <row r="116" spans="1:11" x14ac:dyDescent="0.25">
      <c r="A116" s="227">
        <v>115</v>
      </c>
      <c r="B116" s="207" t="s">
        <v>201</v>
      </c>
      <c r="C116" s="207" t="s">
        <v>204</v>
      </c>
      <c r="D116" s="208" t="str">
        <f>IF(StockOrder!F28="","Null",VLOOKUP(StockOrder!F28,Stocklist!A:C,3,0))</f>
        <v>Null</v>
      </c>
      <c r="E116" s="231" t="str">
        <f>IF(StockOrder!R28="","Null",StockOrder!R28)</f>
        <v>Null</v>
      </c>
      <c r="F116" s="206" t="s">
        <v>927</v>
      </c>
      <c r="G116" s="205" t="s">
        <v>1012</v>
      </c>
      <c r="H116" s="205">
        <v>1</v>
      </c>
      <c r="I116" s="205">
        <v>50</v>
      </c>
      <c r="J116" s="205">
        <v>0</v>
      </c>
      <c r="K116" s="205">
        <v>0</v>
      </c>
    </row>
    <row r="117" spans="1:11" x14ac:dyDescent="0.25">
      <c r="A117" s="227">
        <v>116</v>
      </c>
      <c r="B117" s="207" t="s">
        <v>201</v>
      </c>
      <c r="C117" s="207" t="s">
        <v>204</v>
      </c>
      <c r="D117" s="208" t="str">
        <f>IF(StockOrder!F30="","Null",VLOOKUP(StockOrder!F30,Stocklist!A:C,3,0))</f>
        <v>Null</v>
      </c>
      <c r="E117" s="231" t="str">
        <f>IF(StockOrder!R30="","Null",StockOrder!R30)</f>
        <v>Null</v>
      </c>
      <c r="F117" s="206" t="s">
        <v>927</v>
      </c>
      <c r="G117" s="205" t="s">
        <v>1012</v>
      </c>
      <c r="H117" s="205">
        <v>1</v>
      </c>
      <c r="I117" s="205">
        <v>50</v>
      </c>
      <c r="J117" s="205">
        <v>0</v>
      </c>
      <c r="K117" s="205">
        <v>0</v>
      </c>
    </row>
    <row r="118" spans="1:11" x14ac:dyDescent="0.25">
      <c r="A118" s="227">
        <v>117</v>
      </c>
      <c r="B118" s="207" t="s">
        <v>201</v>
      </c>
      <c r="C118" s="207" t="s">
        <v>204</v>
      </c>
      <c r="D118" s="208" t="str">
        <f>IF(StockOrder!F32="","Null",VLOOKUP(StockOrder!F32,Stocklist!A:C,3,0))</f>
        <v>Null</v>
      </c>
      <c r="E118" s="231" t="str">
        <f>IF(StockOrder!R32="","Null",StockOrder!R32)</f>
        <v>Null</v>
      </c>
      <c r="F118" s="206" t="s">
        <v>927</v>
      </c>
      <c r="G118" s="205" t="s">
        <v>1012</v>
      </c>
      <c r="H118" s="205">
        <v>1</v>
      </c>
      <c r="I118" s="205">
        <v>50</v>
      </c>
      <c r="J118" s="205">
        <v>0</v>
      </c>
      <c r="K118" s="205">
        <v>0</v>
      </c>
    </row>
    <row r="119" spans="1:11" x14ac:dyDescent="0.25">
      <c r="A119" s="227">
        <v>118</v>
      </c>
      <c r="B119" s="207" t="s">
        <v>201</v>
      </c>
      <c r="C119" s="207" t="s">
        <v>204</v>
      </c>
      <c r="D119" s="208" t="str">
        <f>IF(StockOrder!F34="","Null",VLOOKUP(StockOrder!F34,Stocklist!A:C,3,0))</f>
        <v>Null</v>
      </c>
      <c r="E119" s="231" t="str">
        <f>IF(StockOrder!R34="","Null",StockOrder!R34)</f>
        <v>Null</v>
      </c>
      <c r="F119" s="206" t="s">
        <v>927</v>
      </c>
      <c r="G119" s="205" t="s">
        <v>1012</v>
      </c>
      <c r="H119" s="205">
        <v>1</v>
      </c>
      <c r="I119" s="205">
        <v>50</v>
      </c>
      <c r="J119" s="205">
        <v>0</v>
      </c>
      <c r="K119" s="205">
        <v>0</v>
      </c>
    </row>
    <row r="120" spans="1:11" x14ac:dyDescent="0.25">
      <c r="A120" s="227">
        <v>119</v>
      </c>
      <c r="B120" s="207" t="s">
        <v>201</v>
      </c>
      <c r="C120" s="207" t="s">
        <v>204</v>
      </c>
      <c r="D120" s="208" t="str">
        <f>IF(StockOrder!F36="","Null",VLOOKUP(StockOrder!F36,Stocklist!A:C,3,0))</f>
        <v>Null</v>
      </c>
      <c r="E120" s="231" t="str">
        <f>IF(StockOrder!R36="","Null",StockOrder!R36)</f>
        <v>Null</v>
      </c>
      <c r="F120" s="206" t="s">
        <v>927</v>
      </c>
      <c r="G120" s="205" t="s">
        <v>1012</v>
      </c>
      <c r="H120" s="205">
        <v>1</v>
      </c>
      <c r="I120" s="205">
        <v>50</v>
      </c>
      <c r="J120" s="205">
        <v>0</v>
      </c>
      <c r="K120" s="205">
        <v>0</v>
      </c>
    </row>
    <row r="121" spans="1:11" x14ac:dyDescent="0.25">
      <c r="A121" s="227">
        <v>120</v>
      </c>
      <c r="B121" s="207" t="s">
        <v>201</v>
      </c>
      <c r="C121" s="207" t="s">
        <v>204</v>
      </c>
      <c r="D121" s="208" t="str">
        <f>IF(StockOrder!F38="","Null",VLOOKUP(StockOrder!F38,Stocklist!A:C,3,0))</f>
        <v>Null</v>
      </c>
      <c r="E121" s="231" t="str">
        <f>IF(StockOrder!R38="","Null",StockOrder!R38)</f>
        <v>Null</v>
      </c>
      <c r="F121" s="206" t="s">
        <v>927</v>
      </c>
      <c r="G121" s="205" t="s">
        <v>1012</v>
      </c>
      <c r="H121" s="205">
        <v>1</v>
      </c>
      <c r="I121" s="205">
        <v>50</v>
      </c>
      <c r="J121" s="205">
        <v>0</v>
      </c>
      <c r="K121" s="205">
        <v>0</v>
      </c>
    </row>
    <row r="122" spans="1:11" x14ac:dyDescent="0.25">
      <c r="A122" s="227">
        <v>121</v>
      </c>
      <c r="B122" s="207" t="s">
        <v>201</v>
      </c>
      <c r="C122" s="207" t="s">
        <v>204</v>
      </c>
      <c r="D122" s="208" t="str">
        <f>IF(StockOrder!F40="","Null",VLOOKUP(StockOrder!F40,Stocklist!A:C,3,0))</f>
        <v>Null</v>
      </c>
      <c r="E122" s="231" t="str">
        <f>IF(StockOrder!R40="","Null",StockOrder!R40)</f>
        <v>Null</v>
      </c>
      <c r="F122" s="206" t="s">
        <v>927</v>
      </c>
      <c r="G122" s="205" t="s">
        <v>1012</v>
      </c>
      <c r="H122" s="205">
        <v>1</v>
      </c>
      <c r="I122" s="205">
        <v>50</v>
      </c>
      <c r="J122" s="205">
        <v>0</v>
      </c>
      <c r="K122" s="205">
        <v>0</v>
      </c>
    </row>
    <row r="123" spans="1:11" x14ac:dyDescent="0.25">
      <c r="A123" s="227">
        <v>122</v>
      </c>
      <c r="B123" s="207" t="s">
        <v>201</v>
      </c>
      <c r="C123" s="207" t="s">
        <v>204</v>
      </c>
      <c r="D123" s="208" t="str">
        <f>IF(StockOrder!F42="","Null",VLOOKUP(StockOrder!F42,Stocklist!A:C,3,0))</f>
        <v>Null</v>
      </c>
      <c r="E123" s="231" t="str">
        <f>IF(StockOrder!R42="","Null",StockOrder!R42)</f>
        <v>Null</v>
      </c>
      <c r="F123" s="206" t="s">
        <v>927</v>
      </c>
      <c r="G123" s="205" t="s">
        <v>1012</v>
      </c>
      <c r="H123" s="205">
        <v>1</v>
      </c>
      <c r="I123" s="205">
        <v>50</v>
      </c>
      <c r="J123" s="205">
        <v>0</v>
      </c>
      <c r="K123" s="205">
        <v>0</v>
      </c>
    </row>
    <row r="124" spans="1:11" x14ac:dyDescent="0.25">
      <c r="A124" s="227">
        <v>123</v>
      </c>
      <c r="B124" s="207" t="s">
        <v>201</v>
      </c>
      <c r="C124" s="207" t="s">
        <v>204</v>
      </c>
      <c r="D124" s="208" t="str">
        <f>IF(StockOrder!F44="","Null",VLOOKUP(StockOrder!F44,Stocklist!A:C,3,0))</f>
        <v>Null</v>
      </c>
      <c r="E124" s="231" t="str">
        <f>IF(StockOrder!R44="","Null",StockOrder!R44)</f>
        <v>Null</v>
      </c>
      <c r="F124" s="206" t="s">
        <v>927</v>
      </c>
      <c r="G124" s="205" t="s">
        <v>1012</v>
      </c>
      <c r="H124" s="205">
        <v>1</v>
      </c>
      <c r="I124" s="205">
        <v>50</v>
      </c>
      <c r="J124" s="205">
        <v>0</v>
      </c>
      <c r="K124" s="205">
        <v>0</v>
      </c>
    </row>
    <row r="125" spans="1:11" x14ac:dyDescent="0.25">
      <c r="A125" s="227">
        <v>124</v>
      </c>
      <c r="B125" s="207" t="s">
        <v>201</v>
      </c>
      <c r="C125" s="207" t="s">
        <v>204</v>
      </c>
      <c r="D125" s="208" t="str">
        <f>IF(StockOrder!F46="","Null",VLOOKUP(StockOrder!F46,Stocklist!A:C,3,0))</f>
        <v>Null</v>
      </c>
      <c r="E125" s="231" t="str">
        <f>IF(StockOrder!R46="","Null",StockOrder!R46)</f>
        <v>Null</v>
      </c>
      <c r="F125" s="206" t="s">
        <v>927</v>
      </c>
      <c r="G125" s="205" t="s">
        <v>1012</v>
      </c>
      <c r="H125" s="205">
        <v>1</v>
      </c>
      <c r="I125" s="205">
        <v>50</v>
      </c>
      <c r="J125" s="205">
        <v>0</v>
      </c>
      <c r="K125" s="205">
        <v>0</v>
      </c>
    </row>
    <row r="126" spans="1:11" x14ac:dyDescent="0.25">
      <c r="A126" s="227">
        <v>125</v>
      </c>
      <c r="B126" s="207" t="s">
        <v>201</v>
      </c>
      <c r="C126" s="207" t="s">
        <v>204</v>
      </c>
      <c r="D126" s="208" t="str">
        <f>IF(StockOrder!F48="","Null",VLOOKUP(StockOrder!F48,Stocklist!A:C,3,0))</f>
        <v>Null</v>
      </c>
      <c r="E126" s="231" t="str">
        <f>IF(StockOrder!R48="","Null",StockOrder!R48)</f>
        <v>Null</v>
      </c>
      <c r="F126" s="206" t="s">
        <v>927</v>
      </c>
      <c r="G126" s="205" t="s">
        <v>1012</v>
      </c>
      <c r="H126" s="205">
        <v>1</v>
      </c>
      <c r="I126" s="205">
        <v>50</v>
      </c>
      <c r="J126" s="205">
        <v>0</v>
      </c>
      <c r="K126" s="205">
        <v>0</v>
      </c>
    </row>
    <row r="127" spans="1:11" x14ac:dyDescent="0.25">
      <c r="A127" s="227">
        <v>126</v>
      </c>
      <c r="B127" s="207" t="s">
        <v>201</v>
      </c>
      <c r="C127" s="207" t="s">
        <v>204</v>
      </c>
      <c r="D127" s="208" t="str">
        <f>IF(StockOrder!F50="","Null",VLOOKUP(StockOrder!F50,Stocklist!A:C,3,0))</f>
        <v>Null</v>
      </c>
      <c r="E127" s="231" t="str">
        <f>IF(StockOrder!R50="","Null",StockOrder!R50)</f>
        <v>Null</v>
      </c>
      <c r="F127" s="206" t="s">
        <v>927</v>
      </c>
      <c r="G127" s="205" t="s">
        <v>1012</v>
      </c>
      <c r="H127" s="205">
        <v>1</v>
      </c>
      <c r="I127" s="205">
        <v>50</v>
      </c>
      <c r="J127" s="205">
        <v>0</v>
      </c>
      <c r="K127" s="205">
        <v>0</v>
      </c>
    </row>
    <row r="128" spans="1:11" x14ac:dyDescent="0.25">
      <c r="A128" s="227">
        <v>127</v>
      </c>
      <c r="B128" s="207" t="s">
        <v>201</v>
      </c>
      <c r="C128" s="207" t="s">
        <v>204</v>
      </c>
      <c r="D128" s="208" t="str">
        <f>IF(StockOrder!F52="","Null",VLOOKUP(StockOrder!F52,Stocklist!A:C,3,0))</f>
        <v>Null</v>
      </c>
      <c r="E128" s="231" t="str">
        <f>IF(StockOrder!R52="","Null",StockOrder!R52)</f>
        <v>Null</v>
      </c>
      <c r="F128" s="206" t="s">
        <v>927</v>
      </c>
      <c r="G128" s="205" t="s">
        <v>1012</v>
      </c>
      <c r="H128" s="205">
        <v>1</v>
      </c>
      <c r="I128" s="205">
        <v>50</v>
      </c>
      <c r="J128" s="205">
        <v>0</v>
      </c>
      <c r="K128" s="205">
        <v>0</v>
      </c>
    </row>
    <row r="129" spans="1:11" x14ac:dyDescent="0.25">
      <c r="A129" s="227">
        <v>128</v>
      </c>
      <c r="B129" s="207" t="s">
        <v>201</v>
      </c>
      <c r="C129" s="207" t="s">
        <v>204</v>
      </c>
      <c r="D129" s="208" t="str">
        <f>IF(StockOrder!F54="","Null",VLOOKUP(StockOrder!F54,Stocklist!A:C,3,0))</f>
        <v>Null</v>
      </c>
      <c r="E129" s="231" t="str">
        <f>IF(StockOrder!R54="","Null",StockOrder!R54)</f>
        <v>Null</v>
      </c>
      <c r="F129" s="206" t="s">
        <v>927</v>
      </c>
      <c r="G129" s="205" t="s">
        <v>1012</v>
      </c>
      <c r="H129" s="205">
        <v>1</v>
      </c>
      <c r="I129" s="205">
        <v>50</v>
      </c>
      <c r="J129" s="205">
        <v>0</v>
      </c>
      <c r="K129" s="205">
        <v>0</v>
      </c>
    </row>
    <row r="130" spans="1:11" x14ac:dyDescent="0.25">
      <c r="A130" s="227">
        <v>129</v>
      </c>
      <c r="B130" s="207" t="s">
        <v>163</v>
      </c>
      <c r="C130" s="207" t="s">
        <v>391</v>
      </c>
      <c r="D130" s="207" t="s">
        <v>357</v>
      </c>
      <c r="E130" s="208" t="b">
        <v>0</v>
      </c>
      <c r="F130" s="206" t="s">
        <v>882</v>
      </c>
      <c r="G130" s="205" t="s">
        <v>1012</v>
      </c>
      <c r="H130" s="205">
        <v>1</v>
      </c>
      <c r="I130" s="205">
        <v>50</v>
      </c>
      <c r="J130" s="205">
        <v>0</v>
      </c>
      <c r="K130" s="205">
        <v>0</v>
      </c>
    </row>
    <row r="131" spans="1:11" x14ac:dyDescent="0.25">
      <c r="A131" s="227">
        <v>130</v>
      </c>
      <c r="B131" s="207" t="s">
        <v>163</v>
      </c>
      <c r="C131" s="207" t="s">
        <v>391</v>
      </c>
      <c r="D131" s="207" t="s">
        <v>358</v>
      </c>
      <c r="E131" s="208" t="b">
        <v>1</v>
      </c>
      <c r="F131" s="206" t="s">
        <v>882</v>
      </c>
      <c r="G131" s="205" t="s">
        <v>1012</v>
      </c>
      <c r="H131" s="205">
        <v>1</v>
      </c>
      <c r="I131" s="205">
        <v>50</v>
      </c>
      <c r="J131" s="205">
        <v>0</v>
      </c>
      <c r="K131" s="205">
        <v>0</v>
      </c>
    </row>
    <row r="132" spans="1:11" x14ac:dyDescent="0.25">
      <c r="A132" s="227">
        <v>131</v>
      </c>
      <c r="B132" s="207" t="s">
        <v>163</v>
      </c>
      <c r="C132" s="207" t="s">
        <v>391</v>
      </c>
      <c r="D132" s="207" t="s">
        <v>359</v>
      </c>
      <c r="E132" s="208" t="b">
        <v>1</v>
      </c>
      <c r="F132" s="206" t="s">
        <v>882</v>
      </c>
      <c r="G132" s="205" t="s">
        <v>1012</v>
      </c>
      <c r="H132" s="205">
        <v>1</v>
      </c>
      <c r="I132" s="205">
        <v>50</v>
      </c>
      <c r="J132" s="205">
        <v>0</v>
      </c>
      <c r="K132" s="205">
        <v>0</v>
      </c>
    </row>
    <row r="133" spans="1:11" x14ac:dyDescent="0.25">
      <c r="A133" s="227">
        <v>132</v>
      </c>
      <c r="B133" s="207" t="s">
        <v>163</v>
      </c>
      <c r="C133" s="207" t="s">
        <v>391</v>
      </c>
      <c r="D133" s="207" t="s">
        <v>360</v>
      </c>
      <c r="E133" s="208" t="b">
        <v>0</v>
      </c>
      <c r="F133" s="206" t="s">
        <v>882</v>
      </c>
      <c r="G133" s="205" t="s">
        <v>1012</v>
      </c>
      <c r="H133" s="205">
        <v>1</v>
      </c>
      <c r="I133" s="205">
        <v>50</v>
      </c>
      <c r="J133" s="205">
        <v>0</v>
      </c>
      <c r="K133" s="205">
        <v>0</v>
      </c>
    </row>
    <row r="134" spans="1:11" x14ac:dyDescent="0.25">
      <c r="A134" s="227">
        <v>133</v>
      </c>
      <c r="B134" s="207" t="s">
        <v>163</v>
      </c>
      <c r="C134" s="207" t="s">
        <v>394</v>
      </c>
      <c r="D134" s="207" t="s">
        <v>392</v>
      </c>
      <c r="E134" s="208" t="b">
        <v>1</v>
      </c>
      <c r="F134" s="206" t="s">
        <v>882</v>
      </c>
      <c r="G134" s="205" t="s">
        <v>1012</v>
      </c>
      <c r="H134" s="205">
        <v>1</v>
      </c>
      <c r="I134" s="205">
        <v>50</v>
      </c>
      <c r="J134" s="205">
        <v>0</v>
      </c>
      <c r="K134" s="205">
        <v>0</v>
      </c>
    </row>
    <row r="135" spans="1:11" x14ac:dyDescent="0.25">
      <c r="A135" s="227">
        <v>134</v>
      </c>
      <c r="B135" s="207" t="s">
        <v>163</v>
      </c>
      <c r="C135" s="207" t="s">
        <v>394</v>
      </c>
      <c r="D135" s="207" t="s">
        <v>363</v>
      </c>
      <c r="E135" s="208" t="b">
        <v>1</v>
      </c>
      <c r="F135" s="206" t="s">
        <v>882</v>
      </c>
      <c r="G135" s="205" t="s">
        <v>1012</v>
      </c>
      <c r="H135" s="205">
        <v>1</v>
      </c>
      <c r="I135" s="205">
        <v>50</v>
      </c>
      <c r="J135" s="205">
        <v>0</v>
      </c>
      <c r="K135" s="205">
        <v>0</v>
      </c>
    </row>
    <row r="136" spans="1:11" x14ac:dyDescent="0.25">
      <c r="A136" s="227">
        <v>135</v>
      </c>
      <c r="B136" s="207" t="s">
        <v>163</v>
      </c>
      <c r="C136" s="207" t="s">
        <v>394</v>
      </c>
      <c r="D136" s="207" t="s">
        <v>393</v>
      </c>
      <c r="E136" s="208" t="b">
        <v>1</v>
      </c>
      <c r="F136" s="206" t="s">
        <v>882</v>
      </c>
      <c r="G136" s="205" t="s">
        <v>1012</v>
      </c>
      <c r="H136" s="205">
        <v>1</v>
      </c>
      <c r="I136" s="205">
        <v>50</v>
      </c>
      <c r="J136" s="205">
        <v>0</v>
      </c>
      <c r="K136" s="205">
        <v>0</v>
      </c>
    </row>
    <row r="137" spans="1:11" x14ac:dyDescent="0.25">
      <c r="A137" s="227">
        <v>136</v>
      </c>
      <c r="B137" s="207" t="s">
        <v>163</v>
      </c>
      <c r="C137" s="207" t="s">
        <v>394</v>
      </c>
      <c r="D137" s="207" t="s">
        <v>365</v>
      </c>
      <c r="E137" s="208" t="b">
        <v>0</v>
      </c>
      <c r="F137" s="206" t="s">
        <v>882</v>
      </c>
      <c r="G137" s="205" t="s">
        <v>1012</v>
      </c>
      <c r="H137" s="205">
        <v>1</v>
      </c>
      <c r="I137" s="205">
        <v>50</v>
      </c>
      <c r="J137" s="205">
        <v>0</v>
      </c>
      <c r="K137" s="205">
        <v>0</v>
      </c>
    </row>
    <row r="138" spans="1:11" x14ac:dyDescent="0.25">
      <c r="A138" s="227">
        <v>137</v>
      </c>
      <c r="B138" s="207" t="s">
        <v>163</v>
      </c>
      <c r="C138" s="207" t="s">
        <v>394</v>
      </c>
      <c r="D138" s="207" t="s">
        <v>366</v>
      </c>
      <c r="E138" s="208" t="b">
        <v>0</v>
      </c>
      <c r="F138" s="206" t="s">
        <v>882</v>
      </c>
      <c r="G138" s="205" t="s">
        <v>1012</v>
      </c>
      <c r="H138" s="205">
        <v>1</v>
      </c>
      <c r="I138" s="205">
        <v>50</v>
      </c>
      <c r="J138" s="205">
        <v>0</v>
      </c>
      <c r="K138" s="205">
        <v>0</v>
      </c>
    </row>
    <row r="139" spans="1:11" x14ac:dyDescent="0.25">
      <c r="A139" s="227">
        <v>138</v>
      </c>
      <c r="B139" s="207" t="s">
        <v>163</v>
      </c>
      <c r="C139" s="207" t="s">
        <v>394</v>
      </c>
      <c r="D139" s="207" t="s">
        <v>367</v>
      </c>
      <c r="E139" s="208" t="b">
        <v>0</v>
      </c>
      <c r="F139" s="206" t="s">
        <v>882</v>
      </c>
      <c r="G139" s="205" t="s">
        <v>1012</v>
      </c>
      <c r="H139" s="205">
        <v>1</v>
      </c>
      <c r="I139" s="205">
        <v>50</v>
      </c>
      <c r="J139" s="205">
        <v>0</v>
      </c>
      <c r="K139" s="205">
        <v>0</v>
      </c>
    </row>
    <row r="140" spans="1:11" x14ac:dyDescent="0.25">
      <c r="A140" s="227">
        <v>139</v>
      </c>
      <c r="B140" s="207" t="s">
        <v>163</v>
      </c>
      <c r="C140" s="207" t="s">
        <v>394</v>
      </c>
      <c r="D140" s="207" t="s">
        <v>368</v>
      </c>
      <c r="E140" s="208" t="b">
        <v>0</v>
      </c>
      <c r="F140" s="206" t="s">
        <v>882</v>
      </c>
      <c r="G140" s="205" t="s">
        <v>1012</v>
      </c>
      <c r="H140" s="205">
        <v>1</v>
      </c>
      <c r="I140" s="205">
        <v>50</v>
      </c>
      <c r="J140" s="205">
        <v>0</v>
      </c>
      <c r="K140" s="205">
        <v>0</v>
      </c>
    </row>
    <row r="141" spans="1:11" x14ac:dyDescent="0.25">
      <c r="A141" s="227">
        <v>140</v>
      </c>
      <c r="B141" s="207" t="s">
        <v>163</v>
      </c>
      <c r="C141" s="207" t="s">
        <v>193</v>
      </c>
      <c r="D141" s="207" t="s">
        <v>395</v>
      </c>
      <c r="E141" s="208" t="b">
        <v>0</v>
      </c>
      <c r="F141" s="206" t="s">
        <v>882</v>
      </c>
      <c r="G141" s="205" t="s">
        <v>1012</v>
      </c>
      <c r="H141" s="205">
        <v>1</v>
      </c>
      <c r="I141" s="205">
        <v>50</v>
      </c>
      <c r="J141" s="205">
        <v>0</v>
      </c>
      <c r="K141" s="205">
        <v>0</v>
      </c>
    </row>
    <row r="142" spans="1:11" x14ac:dyDescent="0.25">
      <c r="A142" s="227">
        <v>141</v>
      </c>
      <c r="B142" s="207" t="s">
        <v>163</v>
      </c>
      <c r="C142" s="207" t="s">
        <v>193</v>
      </c>
      <c r="D142" s="207" t="s">
        <v>197</v>
      </c>
      <c r="E142" s="208" t="b">
        <v>1</v>
      </c>
      <c r="F142" s="206" t="s">
        <v>882</v>
      </c>
      <c r="G142" s="205" t="s">
        <v>1012</v>
      </c>
      <c r="H142" s="205">
        <v>1</v>
      </c>
      <c r="I142" s="205">
        <v>50</v>
      </c>
      <c r="J142" s="205">
        <v>0</v>
      </c>
      <c r="K142" s="205">
        <v>0</v>
      </c>
    </row>
    <row r="143" spans="1:11" x14ac:dyDescent="0.25">
      <c r="A143" s="227">
        <v>142</v>
      </c>
      <c r="B143" s="207" t="s">
        <v>163</v>
      </c>
      <c r="C143" s="207" t="s">
        <v>193</v>
      </c>
      <c r="D143" s="207" t="s">
        <v>908</v>
      </c>
      <c r="E143" s="244" t="str">
        <f>IF(wd_ImpDate="","Null", wd_ImpDate)</f>
        <v>Null</v>
      </c>
      <c r="F143" s="206" t="s">
        <v>882</v>
      </c>
      <c r="G143" s="205" t="s">
        <v>1010</v>
      </c>
      <c r="H143" s="205">
        <v>1</v>
      </c>
      <c r="I143" s="205">
        <v>10</v>
      </c>
      <c r="J143" s="205">
        <v>0</v>
      </c>
      <c r="K143" s="205">
        <v>0</v>
      </c>
    </row>
    <row r="144" spans="1:11" x14ac:dyDescent="0.25">
      <c r="A144" s="227">
        <v>143</v>
      </c>
      <c r="B144" s="207" t="s">
        <v>201</v>
      </c>
      <c r="C144" s="207" t="s">
        <v>165</v>
      </c>
      <c r="D144" s="207" t="s">
        <v>205</v>
      </c>
      <c r="E144" s="244" t="str">
        <f>IF(Date_Required="","Null", Date_Required)</f>
        <v>Null</v>
      </c>
      <c r="F144" s="206" t="s">
        <v>869</v>
      </c>
      <c r="G144" s="205" t="s">
        <v>1010</v>
      </c>
      <c r="H144" s="205">
        <v>1</v>
      </c>
      <c r="I144" s="205">
        <v>10</v>
      </c>
      <c r="J144" s="205">
        <v>0</v>
      </c>
      <c r="K144" s="205">
        <v>0</v>
      </c>
    </row>
    <row r="145" spans="1:11" x14ac:dyDescent="0.25">
      <c r="A145" s="227">
        <v>144</v>
      </c>
      <c r="B145" s="207" t="s">
        <v>201</v>
      </c>
      <c r="C145" s="207" t="s">
        <v>165</v>
      </c>
      <c r="D145" s="207" t="s">
        <v>545</v>
      </c>
      <c r="E145" s="222" t="str">
        <f>IF(StockDelAddr1="","Null", StockDelAddr1)</f>
        <v>Null</v>
      </c>
      <c r="F145" s="206" t="s">
        <v>869</v>
      </c>
      <c r="G145" s="205" t="s">
        <v>1012</v>
      </c>
      <c r="H145" s="205">
        <v>1</v>
      </c>
      <c r="I145" s="205">
        <v>50</v>
      </c>
      <c r="J145" s="205">
        <v>0</v>
      </c>
      <c r="K145" s="205">
        <v>0</v>
      </c>
    </row>
    <row r="146" spans="1:11" x14ac:dyDescent="0.25">
      <c r="A146" s="227">
        <v>145</v>
      </c>
      <c r="B146" s="207" t="s">
        <v>201</v>
      </c>
      <c r="C146" s="207" t="s">
        <v>165</v>
      </c>
      <c r="D146" s="207" t="s">
        <v>546</v>
      </c>
      <c r="E146" s="222" t="str">
        <f>IF(StockDelAddr2="","Null", StockDelAddr2)</f>
        <v>Null</v>
      </c>
      <c r="F146" s="206" t="s">
        <v>869</v>
      </c>
      <c r="G146" s="205" t="s">
        <v>1012</v>
      </c>
      <c r="H146" s="205">
        <v>1</v>
      </c>
      <c r="I146" s="205">
        <v>50</v>
      </c>
      <c r="J146" s="205">
        <v>0</v>
      </c>
      <c r="K146" s="205">
        <v>0</v>
      </c>
    </row>
    <row r="147" spans="1:11" x14ac:dyDescent="0.25">
      <c r="A147" s="227">
        <v>146</v>
      </c>
      <c r="B147" s="207" t="s">
        <v>201</v>
      </c>
      <c r="C147" s="207" t="s">
        <v>165</v>
      </c>
      <c r="D147" s="207" t="s">
        <v>547</v>
      </c>
      <c r="E147" s="222" t="str">
        <f>IF(StockDelAddr3="","Null", StockDelAddr3)</f>
        <v>Null</v>
      </c>
      <c r="F147" s="206" t="s">
        <v>869</v>
      </c>
      <c r="G147" s="205" t="s">
        <v>1012</v>
      </c>
      <c r="H147" s="205">
        <v>1</v>
      </c>
      <c r="I147" s="205">
        <v>50</v>
      </c>
      <c r="J147" s="205">
        <v>0</v>
      </c>
      <c r="K147" s="205">
        <v>0</v>
      </c>
    </row>
    <row r="148" spans="1:11" x14ac:dyDescent="0.25">
      <c r="A148" s="227">
        <v>147</v>
      </c>
      <c r="B148" s="207" t="s">
        <v>201</v>
      </c>
      <c r="C148" s="207" t="s">
        <v>165</v>
      </c>
      <c r="D148" s="207" t="s">
        <v>548</v>
      </c>
      <c r="E148" s="222" t="str">
        <f>IF(StockDelAddr4="","Null", StockDelAddr4)</f>
        <v>Null</v>
      </c>
      <c r="F148" s="206" t="s">
        <v>869</v>
      </c>
      <c r="G148" s="205" t="s">
        <v>1012</v>
      </c>
      <c r="H148" s="205">
        <v>1</v>
      </c>
      <c r="I148" s="205">
        <v>50</v>
      </c>
      <c r="J148" s="205">
        <v>0</v>
      </c>
      <c r="K148" s="205">
        <v>0</v>
      </c>
    </row>
    <row r="149" spans="1:11" x14ac:dyDescent="0.25">
      <c r="A149" s="227">
        <v>148</v>
      </c>
      <c r="B149" s="207" t="s">
        <v>407</v>
      </c>
      <c r="C149" s="207" t="s">
        <v>181</v>
      </c>
      <c r="D149" s="207" t="s">
        <v>413</v>
      </c>
      <c r="E149" s="222" t="str">
        <f>IF(pr_wd1Moisture="","Null", pr_wd1Moisture)</f>
        <v>Null</v>
      </c>
      <c r="F149" s="206" t="s">
        <v>876</v>
      </c>
      <c r="G149" s="205" t="s">
        <v>1012</v>
      </c>
      <c r="H149" s="205">
        <v>1</v>
      </c>
      <c r="I149" s="205">
        <v>50</v>
      </c>
      <c r="J149" s="205">
        <v>0</v>
      </c>
      <c r="K149" s="205">
        <v>0</v>
      </c>
    </row>
    <row r="150" spans="1:11" x14ac:dyDescent="0.25">
      <c r="A150" s="227">
        <v>149</v>
      </c>
      <c r="B150" s="207" t="s">
        <v>407</v>
      </c>
      <c r="C150" s="207" t="s">
        <v>185</v>
      </c>
      <c r="D150" s="207" t="s">
        <v>414</v>
      </c>
      <c r="E150" s="222" t="str">
        <f>IF(pr_wd2Moisture="","Null", pr_wd2Moisture)</f>
        <v>Null</v>
      </c>
      <c r="F150" s="206" t="s">
        <v>877</v>
      </c>
      <c r="G150" s="205" t="s">
        <v>1012</v>
      </c>
      <c r="H150" s="205">
        <v>1</v>
      </c>
      <c r="I150" s="205">
        <v>50</v>
      </c>
      <c r="J150" s="205">
        <v>0</v>
      </c>
      <c r="K150" s="205">
        <v>0</v>
      </c>
    </row>
    <row r="151" spans="1:11" x14ac:dyDescent="0.25">
      <c r="A151" s="227">
        <v>150</v>
      </c>
      <c r="B151" s="207" t="s">
        <v>407</v>
      </c>
      <c r="C151" s="207" t="s">
        <v>186</v>
      </c>
      <c r="D151" s="207" t="s">
        <v>415</v>
      </c>
      <c r="E151" s="222" t="str">
        <f>IF(pr_wd3Moisture="","Null", pr_wd3Moisture)</f>
        <v>Null</v>
      </c>
      <c r="F151" s="206" t="s">
        <v>878</v>
      </c>
      <c r="G151" s="205" t="s">
        <v>1012</v>
      </c>
      <c r="H151" s="205">
        <v>1</v>
      </c>
      <c r="I151" s="205">
        <v>50</v>
      </c>
      <c r="J151" s="205">
        <v>0</v>
      </c>
      <c r="K151" s="205">
        <v>0</v>
      </c>
    </row>
    <row r="152" spans="1:11" x14ac:dyDescent="0.25">
      <c r="A152" s="227">
        <v>151</v>
      </c>
      <c r="B152" s="207" t="s">
        <v>407</v>
      </c>
      <c r="C152" s="207" t="s">
        <v>181</v>
      </c>
      <c r="D152" s="207" t="s">
        <v>416</v>
      </c>
      <c r="E152" s="222" t="str">
        <f>IF(pr_wd1Edges="","Null", pr_wd1Edges)</f>
        <v>Null</v>
      </c>
      <c r="F152" s="206" t="s">
        <v>879</v>
      </c>
      <c r="G152" s="205" t="s">
        <v>1012</v>
      </c>
      <c r="H152" s="205">
        <v>1</v>
      </c>
      <c r="I152" s="205">
        <v>50</v>
      </c>
      <c r="J152" s="205">
        <v>0</v>
      </c>
      <c r="K152" s="205">
        <v>0</v>
      </c>
    </row>
    <row r="153" spans="1:11" x14ac:dyDescent="0.25">
      <c r="A153" s="227">
        <v>152</v>
      </c>
      <c r="B153" s="207" t="s">
        <v>407</v>
      </c>
      <c r="C153" s="207" t="s">
        <v>185</v>
      </c>
      <c r="D153" s="207" t="s">
        <v>417</v>
      </c>
      <c r="E153" s="222" t="str">
        <f>IF(pr_wd2Edges="","Null", pr_wd2Edges)</f>
        <v>Null</v>
      </c>
      <c r="F153" s="206" t="s">
        <v>880</v>
      </c>
      <c r="G153" s="205" t="s">
        <v>1012</v>
      </c>
      <c r="H153" s="205">
        <v>1</v>
      </c>
      <c r="I153" s="205">
        <v>50</v>
      </c>
      <c r="J153" s="205">
        <v>0</v>
      </c>
      <c r="K153" s="205">
        <v>0</v>
      </c>
    </row>
    <row r="154" spans="1:11" x14ac:dyDescent="0.25">
      <c r="A154" s="227">
        <v>153</v>
      </c>
      <c r="B154" s="207" t="s">
        <v>407</v>
      </c>
      <c r="C154" s="207" t="s">
        <v>186</v>
      </c>
      <c r="D154" s="207" t="s">
        <v>418</v>
      </c>
      <c r="E154" s="222" t="str">
        <f>IF(pr_wd3Edges="","Null", pr_wd3Edges)</f>
        <v>Null</v>
      </c>
      <c r="F154" s="206" t="s">
        <v>880</v>
      </c>
      <c r="G154" s="205" t="s">
        <v>1012</v>
      </c>
      <c r="H154" s="205">
        <v>1</v>
      </c>
      <c r="I154" s="205">
        <v>50</v>
      </c>
      <c r="J154" s="205">
        <v>0</v>
      </c>
      <c r="K154" s="205">
        <v>0</v>
      </c>
    </row>
    <row r="155" spans="1:11" x14ac:dyDescent="0.25">
      <c r="A155" s="227">
        <v>154</v>
      </c>
      <c r="B155" s="207" t="s">
        <v>407</v>
      </c>
      <c r="C155" s="207" t="s">
        <v>181</v>
      </c>
      <c r="D155" s="207" t="s">
        <v>419</v>
      </c>
      <c r="E155" s="222" t="str">
        <f>IF(pr_wd1Len="","Null", pr_wd1Len)</f>
        <v>Null</v>
      </c>
      <c r="F155" s="206" t="s">
        <v>880</v>
      </c>
      <c r="G155" s="205" t="s">
        <v>1012</v>
      </c>
      <c r="H155" s="205">
        <v>1</v>
      </c>
      <c r="I155" s="205">
        <v>50</v>
      </c>
      <c r="J155" s="205">
        <v>0</v>
      </c>
      <c r="K155" s="205">
        <v>0</v>
      </c>
    </row>
    <row r="156" spans="1:11" x14ac:dyDescent="0.25">
      <c r="A156" s="227">
        <v>155</v>
      </c>
      <c r="B156" s="207" t="s">
        <v>407</v>
      </c>
      <c r="C156" s="207" t="s">
        <v>185</v>
      </c>
      <c r="D156" s="207" t="s">
        <v>420</v>
      </c>
      <c r="E156" s="222" t="str">
        <f>IF(pr_wd2Len="","Null", pr_wd2Len)</f>
        <v>Null</v>
      </c>
      <c r="F156" s="206" t="s">
        <v>880</v>
      </c>
      <c r="G156" s="205" t="s">
        <v>1012</v>
      </c>
      <c r="H156" s="205">
        <v>1</v>
      </c>
      <c r="I156" s="205">
        <v>50</v>
      </c>
      <c r="J156" s="205">
        <v>0</v>
      </c>
      <c r="K156" s="205">
        <v>0</v>
      </c>
    </row>
    <row r="157" spans="1:11" x14ac:dyDescent="0.25">
      <c r="A157" s="227">
        <v>156</v>
      </c>
      <c r="B157" s="207" t="s">
        <v>407</v>
      </c>
      <c r="C157" s="207" t="s">
        <v>186</v>
      </c>
      <c r="D157" s="207" t="s">
        <v>421</v>
      </c>
      <c r="E157" s="222" t="str">
        <f>IF(pr_wd3Len="","Null", pr_wd3Len)</f>
        <v>Null</v>
      </c>
      <c r="F157" s="206" t="s">
        <v>880</v>
      </c>
      <c r="G157" s="205" t="s">
        <v>1012</v>
      </c>
      <c r="H157" s="205">
        <v>1</v>
      </c>
      <c r="I157" s="205">
        <v>50</v>
      </c>
      <c r="J157" s="205">
        <v>0</v>
      </c>
      <c r="K157" s="205">
        <v>0</v>
      </c>
    </row>
    <row r="158" spans="1:11" x14ac:dyDescent="0.25">
      <c r="A158" s="227">
        <v>157</v>
      </c>
      <c r="B158" s="207" t="s">
        <v>407</v>
      </c>
      <c r="C158" s="207" t="s">
        <v>181</v>
      </c>
      <c r="D158" s="207" t="s">
        <v>422</v>
      </c>
      <c r="E158" s="222" t="str">
        <f>IF(pr_wd1Wid="","Null", pr_wd1Wid)</f>
        <v>Null</v>
      </c>
      <c r="F158" s="206" t="s">
        <v>880</v>
      </c>
      <c r="G158" s="205" t="s">
        <v>1012</v>
      </c>
      <c r="H158" s="205">
        <v>1</v>
      </c>
      <c r="I158" s="205">
        <v>50</v>
      </c>
      <c r="J158" s="205">
        <v>0</v>
      </c>
      <c r="K158" s="205">
        <v>0</v>
      </c>
    </row>
    <row r="159" spans="1:11" x14ac:dyDescent="0.25">
      <c r="A159" s="227">
        <v>158</v>
      </c>
      <c r="B159" s="207" t="s">
        <v>407</v>
      </c>
      <c r="C159" s="207" t="s">
        <v>185</v>
      </c>
      <c r="D159" s="207" t="s">
        <v>423</v>
      </c>
      <c r="E159" s="222" t="str">
        <f>IF(pr_wd2Wid="","Null", pr_wd2Wid)</f>
        <v>Null</v>
      </c>
      <c r="F159" s="206" t="s">
        <v>880</v>
      </c>
      <c r="G159" s="205" t="s">
        <v>1012</v>
      </c>
      <c r="H159" s="205">
        <v>1</v>
      </c>
      <c r="I159" s="205">
        <v>50</v>
      </c>
      <c r="J159" s="205">
        <v>0</v>
      </c>
      <c r="K159" s="205">
        <v>0</v>
      </c>
    </row>
    <row r="160" spans="1:11" x14ac:dyDescent="0.25">
      <c r="A160" s="227">
        <v>159</v>
      </c>
      <c r="B160" s="207" t="s">
        <v>407</v>
      </c>
      <c r="C160" s="207" t="s">
        <v>186</v>
      </c>
      <c r="D160" s="207" t="s">
        <v>424</v>
      </c>
      <c r="E160" s="222" t="str">
        <f>IF(pr_wd3Wid="","Null", pr_wd3Wid)</f>
        <v>Null</v>
      </c>
      <c r="F160" s="206" t="s">
        <v>880</v>
      </c>
      <c r="G160" s="205" t="s">
        <v>1012</v>
      </c>
      <c r="H160" s="205">
        <v>1</v>
      </c>
      <c r="I160" s="205">
        <v>50</v>
      </c>
      <c r="J160" s="205">
        <v>0</v>
      </c>
      <c r="K160" s="205">
        <v>0</v>
      </c>
    </row>
    <row r="161" spans="1:11" x14ac:dyDescent="0.25">
      <c r="A161" s="227">
        <v>160</v>
      </c>
      <c r="B161" s="207" t="s">
        <v>407</v>
      </c>
      <c r="C161" s="207" t="s">
        <v>181</v>
      </c>
      <c r="D161" s="207" t="s">
        <v>425</v>
      </c>
      <c r="E161" s="222" t="str">
        <f>IF(pr_wd1Dep="","Null", pr_wd1Dep)</f>
        <v>Null</v>
      </c>
      <c r="F161" s="206" t="s">
        <v>880</v>
      </c>
      <c r="G161" s="205" t="s">
        <v>1012</v>
      </c>
      <c r="H161" s="205">
        <v>1</v>
      </c>
      <c r="I161" s="205">
        <v>50</v>
      </c>
      <c r="J161" s="205">
        <v>0</v>
      </c>
      <c r="K161" s="205">
        <v>0</v>
      </c>
    </row>
    <row r="162" spans="1:11" x14ac:dyDescent="0.25">
      <c r="A162" s="227">
        <v>161</v>
      </c>
      <c r="B162" s="207" t="s">
        <v>407</v>
      </c>
      <c r="C162" s="207" t="s">
        <v>185</v>
      </c>
      <c r="D162" s="207" t="s">
        <v>426</v>
      </c>
      <c r="E162" s="222" t="str">
        <f>IF(pr_wd2Dep="","Null", pr_wd2Dep)</f>
        <v>Null</v>
      </c>
      <c r="F162" s="206" t="s">
        <v>880</v>
      </c>
      <c r="G162" s="205" t="s">
        <v>1012</v>
      </c>
      <c r="H162" s="205">
        <v>1</v>
      </c>
      <c r="I162" s="205">
        <v>50</v>
      </c>
      <c r="J162" s="205">
        <v>0</v>
      </c>
      <c r="K162" s="205">
        <v>0</v>
      </c>
    </row>
    <row r="163" spans="1:11" x14ac:dyDescent="0.25">
      <c r="A163" s="227">
        <v>162</v>
      </c>
      <c r="B163" s="207" t="s">
        <v>407</v>
      </c>
      <c r="C163" s="207" t="s">
        <v>186</v>
      </c>
      <c r="D163" s="207" t="s">
        <v>427</v>
      </c>
      <c r="E163" s="222" t="str">
        <f>IF(pr_wd3Dep="","Null", pr_wd3Dep)</f>
        <v>Null</v>
      </c>
      <c r="F163" s="206" t="s">
        <v>880</v>
      </c>
      <c r="G163" s="205" t="s">
        <v>1012</v>
      </c>
      <c r="H163" s="205">
        <v>1</v>
      </c>
      <c r="I163" s="205">
        <v>50</v>
      </c>
      <c r="J163" s="205">
        <v>0</v>
      </c>
      <c r="K163" s="205">
        <v>0</v>
      </c>
    </row>
    <row r="164" spans="1:11" x14ac:dyDescent="0.25">
      <c r="A164" s="227">
        <v>163</v>
      </c>
      <c r="B164" s="207" t="s">
        <v>407</v>
      </c>
      <c r="C164" s="207" t="s">
        <v>181</v>
      </c>
      <c r="D164" s="207" t="s">
        <v>428</v>
      </c>
      <c r="E164" s="222" t="str">
        <f>IF(pr_wd1Tunn="","Null", pr_wd1Tunn)</f>
        <v>Null</v>
      </c>
      <c r="F164" s="206" t="s">
        <v>880</v>
      </c>
      <c r="G164" s="205" t="s">
        <v>1012</v>
      </c>
      <c r="H164" s="205">
        <v>1</v>
      </c>
      <c r="I164" s="205">
        <v>50</v>
      </c>
      <c r="J164" s="205">
        <v>0</v>
      </c>
      <c r="K164" s="205">
        <v>0</v>
      </c>
    </row>
    <row r="165" spans="1:11" x14ac:dyDescent="0.25">
      <c r="A165" s="227">
        <v>164</v>
      </c>
      <c r="B165" s="207" t="s">
        <v>407</v>
      </c>
      <c r="C165" s="207" t="s">
        <v>185</v>
      </c>
      <c r="D165" s="207" t="s">
        <v>429</v>
      </c>
      <c r="E165" s="222" t="str">
        <f>IF(pr_wd2Tunn="","Null", pr_wd2Tunn)</f>
        <v>Null</v>
      </c>
      <c r="F165" s="206" t="s">
        <v>880</v>
      </c>
      <c r="G165" s="205" t="s">
        <v>1012</v>
      </c>
      <c r="H165" s="205">
        <v>1</v>
      </c>
      <c r="I165" s="205">
        <v>50</v>
      </c>
      <c r="J165" s="205">
        <v>0</v>
      </c>
      <c r="K165" s="205">
        <v>0</v>
      </c>
    </row>
    <row r="166" spans="1:11" x14ac:dyDescent="0.25">
      <c r="A166" s="227">
        <v>165</v>
      </c>
      <c r="B166" s="207" t="s">
        <v>407</v>
      </c>
      <c r="C166" s="207" t="s">
        <v>186</v>
      </c>
      <c r="D166" s="207" t="s">
        <v>430</v>
      </c>
      <c r="E166" s="222" t="str">
        <f>IF(pr_wd3Tunn="","Null", pr_wd3Tunn)</f>
        <v>Null</v>
      </c>
      <c r="F166" s="206" t="s">
        <v>880</v>
      </c>
      <c r="G166" s="205" t="s">
        <v>1012</v>
      </c>
      <c r="H166" s="205">
        <v>1</v>
      </c>
      <c r="I166" s="205">
        <v>50</v>
      </c>
      <c r="J166" s="205">
        <v>0</v>
      </c>
      <c r="K166" s="205">
        <v>0</v>
      </c>
    </row>
    <row r="167" spans="1:11" x14ac:dyDescent="0.25">
      <c r="A167" s="227">
        <v>166</v>
      </c>
      <c r="B167" s="207" t="s">
        <v>407</v>
      </c>
      <c r="C167" s="207" t="s">
        <v>181</v>
      </c>
      <c r="D167" s="207" t="s">
        <v>431</v>
      </c>
      <c r="E167" s="222" t="str">
        <f>IF(pr_wd1Undermin="","Null", pr_wd1Undermin)</f>
        <v>Null</v>
      </c>
      <c r="F167" s="206" t="s">
        <v>880</v>
      </c>
      <c r="G167" s="205" t="s">
        <v>1012</v>
      </c>
      <c r="H167" s="205">
        <v>1</v>
      </c>
      <c r="I167" s="205">
        <v>50</v>
      </c>
      <c r="J167" s="205">
        <v>0</v>
      </c>
      <c r="K167" s="205">
        <v>0</v>
      </c>
    </row>
    <row r="168" spans="1:11" x14ac:dyDescent="0.25">
      <c r="A168" s="227">
        <v>167</v>
      </c>
      <c r="B168" s="207" t="s">
        <v>407</v>
      </c>
      <c r="C168" s="207" t="s">
        <v>185</v>
      </c>
      <c r="D168" s="207" t="s">
        <v>432</v>
      </c>
      <c r="E168" s="222" t="str">
        <f>IF(pr_wd2Undermin="","Null", pr_wd2Undermin)</f>
        <v>Null</v>
      </c>
      <c r="F168" s="206" t="s">
        <v>880</v>
      </c>
      <c r="G168" s="205" t="s">
        <v>1012</v>
      </c>
      <c r="H168" s="205">
        <v>1</v>
      </c>
      <c r="I168" s="205">
        <v>50</v>
      </c>
      <c r="J168" s="205">
        <v>0</v>
      </c>
      <c r="K168" s="205">
        <v>0</v>
      </c>
    </row>
    <row r="169" spans="1:11" x14ac:dyDescent="0.25">
      <c r="A169" s="227">
        <v>168</v>
      </c>
      <c r="B169" s="207" t="s">
        <v>407</v>
      </c>
      <c r="C169" s="207" t="s">
        <v>186</v>
      </c>
      <c r="D169" s="207" t="s">
        <v>433</v>
      </c>
      <c r="E169" s="222" t="str">
        <f>IF(pr_wd3Undermin="","Null", pr_wd3Undermin)</f>
        <v>Null</v>
      </c>
      <c r="F169" s="206" t="s">
        <v>880</v>
      </c>
      <c r="G169" s="205" t="s">
        <v>1012</v>
      </c>
      <c r="H169" s="205">
        <v>1</v>
      </c>
      <c r="I169" s="205">
        <v>50</v>
      </c>
      <c r="J169" s="205">
        <v>0</v>
      </c>
      <c r="K169" s="205">
        <v>0</v>
      </c>
    </row>
    <row r="170" spans="1:11" x14ac:dyDescent="0.25">
      <c r="A170" s="227">
        <v>169</v>
      </c>
      <c r="B170" s="207" t="s">
        <v>407</v>
      </c>
      <c r="C170" s="207" t="s">
        <v>181</v>
      </c>
      <c r="D170" s="207" t="s">
        <v>434</v>
      </c>
      <c r="E170" s="244" t="str">
        <f>IF(pr_wd1DebrideDate="","Null", pr_wd1DebrideDate)</f>
        <v>Null</v>
      </c>
      <c r="F170" s="206" t="s">
        <v>880</v>
      </c>
      <c r="G170" s="205" t="s">
        <v>1010</v>
      </c>
      <c r="H170" s="205">
        <v>1</v>
      </c>
      <c r="I170" s="205">
        <v>10</v>
      </c>
      <c r="J170" s="205">
        <v>0</v>
      </c>
      <c r="K170" s="205">
        <v>0</v>
      </c>
    </row>
    <row r="171" spans="1:11" x14ac:dyDescent="0.25">
      <c r="A171" s="227">
        <v>170</v>
      </c>
      <c r="B171" s="207" t="s">
        <v>407</v>
      </c>
      <c r="C171" s="207" t="s">
        <v>185</v>
      </c>
      <c r="D171" s="207" t="s">
        <v>435</v>
      </c>
      <c r="E171" s="244" t="str">
        <f>IF(pr_wd2DebrideDate="","Null", pr_wd2DebrideDate)</f>
        <v>Null</v>
      </c>
      <c r="F171" s="206" t="s">
        <v>880</v>
      </c>
      <c r="G171" s="205" t="s">
        <v>1010</v>
      </c>
      <c r="H171" s="205">
        <v>1</v>
      </c>
      <c r="I171" s="205">
        <v>10</v>
      </c>
      <c r="J171" s="205">
        <v>0</v>
      </c>
      <c r="K171" s="205">
        <v>0</v>
      </c>
    </row>
    <row r="172" spans="1:11" x14ac:dyDescent="0.25">
      <c r="A172" s="227">
        <v>171</v>
      </c>
      <c r="B172" s="207" t="s">
        <v>407</v>
      </c>
      <c r="C172" s="207" t="s">
        <v>186</v>
      </c>
      <c r="D172" s="207" t="s">
        <v>436</v>
      </c>
      <c r="E172" s="244" t="str">
        <f>IF(pr_wd3DebrideDate="","Null", pr_wd3DebrideDate)</f>
        <v>Null</v>
      </c>
      <c r="F172" s="206" t="s">
        <v>880</v>
      </c>
      <c r="G172" s="205" t="s">
        <v>1010</v>
      </c>
      <c r="H172" s="205">
        <v>1</v>
      </c>
      <c r="I172" s="205">
        <v>10</v>
      </c>
      <c r="J172" s="205">
        <v>0</v>
      </c>
      <c r="K172" s="205">
        <v>0</v>
      </c>
    </row>
    <row r="173" spans="1:11" x14ac:dyDescent="0.25">
      <c r="A173" s="227">
        <v>172</v>
      </c>
      <c r="B173" s="207" t="s">
        <v>407</v>
      </c>
      <c r="C173" s="207" t="s">
        <v>181</v>
      </c>
      <c r="D173" s="207" t="s">
        <v>526</v>
      </c>
      <c r="E173" s="208" t="b">
        <v>0</v>
      </c>
      <c r="F173" s="206" t="s">
        <v>880</v>
      </c>
      <c r="G173" s="205" t="s">
        <v>1012</v>
      </c>
      <c r="H173" s="205">
        <v>1</v>
      </c>
      <c r="I173" s="205">
        <v>50</v>
      </c>
      <c r="J173" s="205">
        <v>0</v>
      </c>
      <c r="K173" s="205">
        <v>0</v>
      </c>
    </row>
    <row r="174" spans="1:11" x14ac:dyDescent="0.25">
      <c r="A174" s="227">
        <v>173</v>
      </c>
      <c r="B174" s="207" t="s">
        <v>407</v>
      </c>
      <c r="C174" s="207" t="s">
        <v>181</v>
      </c>
      <c r="D174" s="207" t="s">
        <v>524</v>
      </c>
      <c r="E174" s="208" t="b">
        <v>0</v>
      </c>
      <c r="F174" s="206" t="s">
        <v>880</v>
      </c>
      <c r="G174" s="205" t="s">
        <v>1012</v>
      </c>
      <c r="H174" s="205">
        <v>1</v>
      </c>
      <c r="I174" s="205">
        <v>50</v>
      </c>
      <c r="J174" s="205">
        <v>0</v>
      </c>
      <c r="K174" s="205">
        <v>0</v>
      </c>
    </row>
    <row r="175" spans="1:11" x14ac:dyDescent="0.25">
      <c r="A175" s="227">
        <v>174</v>
      </c>
      <c r="B175" s="207" t="s">
        <v>407</v>
      </c>
      <c r="C175" s="207" t="s">
        <v>181</v>
      </c>
      <c r="D175" s="207" t="s">
        <v>525</v>
      </c>
      <c r="E175" s="208" t="b">
        <v>0</v>
      </c>
      <c r="F175" s="206" t="s">
        <v>880</v>
      </c>
      <c r="G175" s="205" t="s">
        <v>1012</v>
      </c>
      <c r="H175" s="205">
        <v>1</v>
      </c>
      <c r="I175" s="205">
        <v>50</v>
      </c>
      <c r="J175" s="205">
        <v>0</v>
      </c>
      <c r="K175" s="205">
        <v>0</v>
      </c>
    </row>
    <row r="176" spans="1:11" x14ac:dyDescent="0.25">
      <c r="A176" s="227">
        <v>175</v>
      </c>
      <c r="B176" s="207" t="s">
        <v>407</v>
      </c>
      <c r="C176" s="207" t="s">
        <v>181</v>
      </c>
      <c r="D176" s="207" t="s">
        <v>521</v>
      </c>
      <c r="E176" s="208" t="b">
        <v>0</v>
      </c>
      <c r="F176" s="206" t="s">
        <v>880</v>
      </c>
      <c r="G176" s="205" t="s">
        <v>1012</v>
      </c>
      <c r="H176" s="205">
        <v>1</v>
      </c>
      <c r="I176" s="205">
        <v>50</v>
      </c>
      <c r="J176" s="205">
        <v>0</v>
      </c>
      <c r="K176" s="205">
        <v>0</v>
      </c>
    </row>
    <row r="177" spans="1:11" x14ac:dyDescent="0.25">
      <c r="A177" s="227">
        <v>176</v>
      </c>
      <c r="B177" s="207" t="s">
        <v>407</v>
      </c>
      <c r="C177" s="207" t="s">
        <v>181</v>
      </c>
      <c r="D177" s="207" t="s">
        <v>523</v>
      </c>
      <c r="E177" s="208" t="b">
        <v>0</v>
      </c>
      <c r="F177" s="206" t="s">
        <v>880</v>
      </c>
      <c r="G177" s="205" t="s">
        <v>1012</v>
      </c>
      <c r="H177" s="205">
        <v>1</v>
      </c>
      <c r="I177" s="205">
        <v>50</v>
      </c>
      <c r="J177" s="205">
        <v>0</v>
      </c>
      <c r="K177" s="205">
        <v>0</v>
      </c>
    </row>
    <row r="178" spans="1:11" x14ac:dyDescent="0.25">
      <c r="A178" s="227">
        <v>177</v>
      </c>
      <c r="B178" s="207" t="s">
        <v>407</v>
      </c>
      <c r="C178" s="207" t="s">
        <v>181</v>
      </c>
      <c r="D178" s="207" t="s">
        <v>527</v>
      </c>
      <c r="E178" s="208" t="b">
        <v>0</v>
      </c>
      <c r="F178" s="206" t="s">
        <v>880</v>
      </c>
      <c r="G178" s="205" t="s">
        <v>1012</v>
      </c>
      <c r="H178" s="205">
        <v>1</v>
      </c>
      <c r="I178" s="205">
        <v>50</v>
      </c>
      <c r="J178" s="205">
        <v>0</v>
      </c>
      <c r="K178" s="205">
        <v>0</v>
      </c>
    </row>
    <row r="179" spans="1:11" x14ac:dyDescent="0.25">
      <c r="A179" s="227">
        <v>178</v>
      </c>
      <c r="B179" s="207" t="s">
        <v>407</v>
      </c>
      <c r="C179" s="207" t="s">
        <v>181</v>
      </c>
      <c r="D179" s="207" t="s">
        <v>528</v>
      </c>
      <c r="E179" s="208" t="b">
        <v>0</v>
      </c>
      <c r="F179" s="206" t="s">
        <v>880</v>
      </c>
      <c r="G179" s="205" t="s">
        <v>1012</v>
      </c>
      <c r="H179" s="205">
        <v>1</v>
      </c>
      <c r="I179" s="205">
        <v>50</v>
      </c>
      <c r="J179" s="205">
        <v>0</v>
      </c>
      <c r="K179" s="205">
        <v>0</v>
      </c>
    </row>
    <row r="180" spans="1:11" x14ac:dyDescent="0.25">
      <c r="A180" s="227">
        <v>179</v>
      </c>
      <c r="B180" s="207" t="s">
        <v>407</v>
      </c>
      <c r="C180" s="207" t="s">
        <v>181</v>
      </c>
      <c r="D180" s="207" t="s">
        <v>522</v>
      </c>
      <c r="E180" s="244" t="str">
        <f>IF(pr_wd1Exudate="","Null", pr_wd1Exudate)</f>
        <v>Null</v>
      </c>
      <c r="F180" s="206" t="s">
        <v>880</v>
      </c>
      <c r="G180" s="205" t="s">
        <v>1012</v>
      </c>
      <c r="H180" s="205">
        <v>1</v>
      </c>
      <c r="I180" s="205">
        <v>50</v>
      </c>
      <c r="J180" s="205">
        <v>0</v>
      </c>
      <c r="K180" s="205">
        <v>0</v>
      </c>
    </row>
    <row r="181" spans="1:11" x14ac:dyDescent="0.25">
      <c r="A181" s="227">
        <v>180</v>
      </c>
      <c r="B181" s="207" t="s">
        <v>407</v>
      </c>
      <c r="C181" s="207" t="s">
        <v>185</v>
      </c>
      <c r="D181" s="207" t="s">
        <v>534</v>
      </c>
      <c r="E181" s="208" t="b">
        <v>0</v>
      </c>
      <c r="F181" s="206" t="s">
        <v>880</v>
      </c>
      <c r="G181" s="205" t="s">
        <v>1012</v>
      </c>
      <c r="H181" s="205">
        <v>1</v>
      </c>
      <c r="I181" s="205">
        <v>50</v>
      </c>
      <c r="J181" s="205">
        <v>0</v>
      </c>
      <c r="K181" s="205">
        <v>0</v>
      </c>
    </row>
    <row r="182" spans="1:11" x14ac:dyDescent="0.25">
      <c r="A182" s="227">
        <v>181</v>
      </c>
      <c r="B182" s="207" t="s">
        <v>407</v>
      </c>
      <c r="C182" s="207" t="s">
        <v>185</v>
      </c>
      <c r="D182" s="207" t="s">
        <v>532</v>
      </c>
      <c r="E182" s="208" t="b">
        <v>0</v>
      </c>
      <c r="F182" s="206" t="s">
        <v>880</v>
      </c>
      <c r="G182" s="205" t="s">
        <v>1012</v>
      </c>
      <c r="H182" s="205">
        <v>1</v>
      </c>
      <c r="I182" s="205">
        <v>50</v>
      </c>
      <c r="J182" s="205">
        <v>0</v>
      </c>
      <c r="K182" s="205">
        <v>0</v>
      </c>
    </row>
    <row r="183" spans="1:11" x14ac:dyDescent="0.25">
      <c r="A183" s="227">
        <v>182</v>
      </c>
      <c r="B183" s="207" t="s">
        <v>407</v>
      </c>
      <c r="C183" s="207" t="s">
        <v>185</v>
      </c>
      <c r="D183" s="207" t="s">
        <v>533</v>
      </c>
      <c r="E183" s="208" t="b">
        <v>0</v>
      </c>
      <c r="F183" s="206" t="s">
        <v>880</v>
      </c>
      <c r="G183" s="205" t="s">
        <v>1012</v>
      </c>
      <c r="H183" s="205">
        <v>1</v>
      </c>
      <c r="I183" s="205">
        <v>50</v>
      </c>
      <c r="J183" s="205">
        <v>0</v>
      </c>
      <c r="K183" s="205">
        <v>0</v>
      </c>
    </row>
    <row r="184" spans="1:11" x14ac:dyDescent="0.25">
      <c r="A184" s="227">
        <v>183</v>
      </c>
      <c r="B184" s="207" t="s">
        <v>407</v>
      </c>
      <c r="C184" s="207" t="s">
        <v>185</v>
      </c>
      <c r="D184" s="207" t="s">
        <v>529</v>
      </c>
      <c r="E184" s="208" t="b">
        <v>0</v>
      </c>
      <c r="F184" s="206" t="s">
        <v>880</v>
      </c>
      <c r="G184" s="205" t="s">
        <v>1012</v>
      </c>
      <c r="H184" s="205">
        <v>1</v>
      </c>
      <c r="I184" s="205">
        <v>50</v>
      </c>
      <c r="J184" s="205">
        <v>0</v>
      </c>
      <c r="K184" s="205">
        <v>0</v>
      </c>
    </row>
    <row r="185" spans="1:11" x14ac:dyDescent="0.25">
      <c r="A185" s="227">
        <v>184</v>
      </c>
      <c r="B185" s="207" t="s">
        <v>407</v>
      </c>
      <c r="C185" s="207" t="s">
        <v>185</v>
      </c>
      <c r="D185" s="207" t="s">
        <v>531</v>
      </c>
      <c r="E185" s="208" t="b">
        <v>0</v>
      </c>
      <c r="F185" s="206" t="s">
        <v>880</v>
      </c>
      <c r="G185" s="205" t="s">
        <v>1012</v>
      </c>
      <c r="H185" s="205">
        <v>1</v>
      </c>
      <c r="I185" s="205">
        <v>50</v>
      </c>
      <c r="J185" s="205">
        <v>0</v>
      </c>
      <c r="K185" s="205">
        <v>0</v>
      </c>
    </row>
    <row r="186" spans="1:11" x14ac:dyDescent="0.25">
      <c r="A186" s="227">
        <v>185</v>
      </c>
      <c r="B186" s="207" t="s">
        <v>407</v>
      </c>
      <c r="C186" s="207" t="s">
        <v>185</v>
      </c>
      <c r="D186" s="207" t="s">
        <v>535</v>
      </c>
      <c r="E186" s="208" t="b">
        <v>0</v>
      </c>
      <c r="F186" s="206" t="s">
        <v>880</v>
      </c>
      <c r="G186" s="205" t="s">
        <v>1012</v>
      </c>
      <c r="H186" s="205">
        <v>1</v>
      </c>
      <c r="I186" s="205">
        <v>50</v>
      </c>
      <c r="J186" s="205">
        <v>0</v>
      </c>
      <c r="K186" s="205">
        <v>0</v>
      </c>
    </row>
    <row r="187" spans="1:11" x14ac:dyDescent="0.25">
      <c r="A187" s="227">
        <v>186</v>
      </c>
      <c r="B187" s="207" t="s">
        <v>407</v>
      </c>
      <c r="C187" s="207" t="s">
        <v>185</v>
      </c>
      <c r="D187" s="207" t="s">
        <v>536</v>
      </c>
      <c r="E187" s="208" t="b">
        <v>0</v>
      </c>
      <c r="F187" s="206" t="s">
        <v>880</v>
      </c>
      <c r="G187" s="205" t="s">
        <v>1012</v>
      </c>
      <c r="H187" s="205">
        <v>1</v>
      </c>
      <c r="I187" s="205">
        <v>50</v>
      </c>
      <c r="J187" s="205">
        <v>0</v>
      </c>
      <c r="K187" s="205">
        <v>0</v>
      </c>
    </row>
    <row r="188" spans="1:11" x14ac:dyDescent="0.25">
      <c r="A188" s="227">
        <v>187</v>
      </c>
      <c r="B188" s="207" t="s">
        <v>407</v>
      </c>
      <c r="C188" s="207" t="s">
        <v>185</v>
      </c>
      <c r="D188" s="207" t="s">
        <v>530</v>
      </c>
      <c r="E188" s="244" t="str">
        <f>IF(pr_wd2Exudate="","Null", pr_wd2Exudate)</f>
        <v>Null</v>
      </c>
      <c r="F188" s="206" t="s">
        <v>880</v>
      </c>
      <c r="G188" s="205" t="s">
        <v>1012</v>
      </c>
      <c r="H188" s="205">
        <v>1</v>
      </c>
      <c r="I188" s="205">
        <v>50</v>
      </c>
      <c r="J188" s="205">
        <v>0</v>
      </c>
      <c r="K188" s="205">
        <v>0</v>
      </c>
    </row>
    <row r="189" spans="1:11" x14ac:dyDescent="0.25">
      <c r="A189" s="227">
        <v>188</v>
      </c>
      <c r="B189" s="207" t="s">
        <v>407</v>
      </c>
      <c r="C189" s="207" t="s">
        <v>186</v>
      </c>
      <c r="D189" s="207" t="s">
        <v>542</v>
      </c>
      <c r="E189" s="208" t="b">
        <v>0</v>
      </c>
      <c r="F189" s="206" t="s">
        <v>880</v>
      </c>
      <c r="G189" s="205" t="s">
        <v>1012</v>
      </c>
      <c r="H189" s="205">
        <v>1</v>
      </c>
      <c r="I189" s="205">
        <v>50</v>
      </c>
      <c r="J189" s="205">
        <v>0</v>
      </c>
      <c r="K189" s="205">
        <v>0</v>
      </c>
    </row>
    <row r="190" spans="1:11" x14ac:dyDescent="0.25">
      <c r="A190" s="227">
        <v>189</v>
      </c>
      <c r="B190" s="207" t="s">
        <v>407</v>
      </c>
      <c r="C190" s="207" t="s">
        <v>186</v>
      </c>
      <c r="D190" s="207" t="s">
        <v>540</v>
      </c>
      <c r="E190" s="208" t="b">
        <v>0</v>
      </c>
      <c r="F190" s="206" t="s">
        <v>880</v>
      </c>
      <c r="G190" s="205" t="s">
        <v>1012</v>
      </c>
      <c r="H190" s="205">
        <v>1</v>
      </c>
      <c r="I190" s="205">
        <v>50</v>
      </c>
      <c r="J190" s="205">
        <v>0</v>
      </c>
      <c r="K190" s="205">
        <v>0</v>
      </c>
    </row>
    <row r="191" spans="1:11" x14ac:dyDescent="0.25">
      <c r="A191" s="227">
        <v>190</v>
      </c>
      <c r="B191" s="207" t="s">
        <v>407</v>
      </c>
      <c r="C191" s="207" t="s">
        <v>186</v>
      </c>
      <c r="D191" s="207" t="s">
        <v>541</v>
      </c>
      <c r="E191" s="208" t="b">
        <v>0</v>
      </c>
      <c r="F191" s="206" t="s">
        <v>880</v>
      </c>
      <c r="G191" s="205" t="s">
        <v>1012</v>
      </c>
      <c r="H191" s="205">
        <v>1</v>
      </c>
      <c r="I191" s="205">
        <v>50</v>
      </c>
      <c r="J191" s="205">
        <v>0</v>
      </c>
      <c r="K191" s="205">
        <v>0</v>
      </c>
    </row>
    <row r="192" spans="1:11" x14ac:dyDescent="0.25">
      <c r="A192" s="227">
        <v>191</v>
      </c>
      <c r="B192" s="207" t="s">
        <v>407</v>
      </c>
      <c r="C192" s="207" t="s">
        <v>186</v>
      </c>
      <c r="D192" s="207" t="s">
        <v>537</v>
      </c>
      <c r="E192" s="208" t="b">
        <v>0</v>
      </c>
      <c r="F192" s="206" t="s">
        <v>880</v>
      </c>
      <c r="G192" s="205" t="s">
        <v>1012</v>
      </c>
      <c r="H192" s="205">
        <v>1</v>
      </c>
      <c r="I192" s="205">
        <v>50</v>
      </c>
      <c r="J192" s="205">
        <v>0</v>
      </c>
      <c r="K192" s="205">
        <v>0</v>
      </c>
    </row>
    <row r="193" spans="1:11" x14ac:dyDescent="0.25">
      <c r="A193" s="227">
        <v>192</v>
      </c>
      <c r="B193" s="207" t="s">
        <v>407</v>
      </c>
      <c r="C193" s="207" t="s">
        <v>186</v>
      </c>
      <c r="D193" s="207" t="s">
        <v>539</v>
      </c>
      <c r="E193" s="208" t="b">
        <v>0</v>
      </c>
      <c r="F193" s="206" t="s">
        <v>880</v>
      </c>
      <c r="G193" s="205" t="s">
        <v>1012</v>
      </c>
      <c r="H193" s="205">
        <v>1</v>
      </c>
      <c r="I193" s="205">
        <v>50</v>
      </c>
      <c r="J193" s="205">
        <v>0</v>
      </c>
      <c r="K193" s="205">
        <v>0</v>
      </c>
    </row>
    <row r="194" spans="1:11" x14ac:dyDescent="0.25">
      <c r="A194" s="227">
        <v>193</v>
      </c>
      <c r="B194" s="207" t="s">
        <v>407</v>
      </c>
      <c r="C194" s="207" t="s">
        <v>186</v>
      </c>
      <c r="D194" s="207" t="s">
        <v>543</v>
      </c>
      <c r="E194" s="208" t="b">
        <v>0</v>
      </c>
      <c r="F194" s="206" t="s">
        <v>880</v>
      </c>
      <c r="G194" s="205" t="s">
        <v>1012</v>
      </c>
      <c r="H194" s="205">
        <v>1</v>
      </c>
      <c r="I194" s="205">
        <v>50</v>
      </c>
      <c r="J194" s="205">
        <v>0</v>
      </c>
      <c r="K194" s="205">
        <v>0</v>
      </c>
    </row>
    <row r="195" spans="1:11" x14ac:dyDescent="0.25">
      <c r="A195" s="227">
        <v>194</v>
      </c>
      <c r="B195" s="207" t="s">
        <v>407</v>
      </c>
      <c r="C195" s="207" t="s">
        <v>186</v>
      </c>
      <c r="D195" s="207" t="s">
        <v>544</v>
      </c>
      <c r="E195" s="208" t="b">
        <v>0</v>
      </c>
      <c r="F195" s="206" t="s">
        <v>880</v>
      </c>
      <c r="G195" s="205" t="s">
        <v>1012</v>
      </c>
      <c r="H195" s="205">
        <v>1</v>
      </c>
      <c r="I195" s="205">
        <v>50</v>
      </c>
      <c r="J195" s="205">
        <v>0</v>
      </c>
      <c r="K195" s="205">
        <v>0</v>
      </c>
    </row>
    <row r="196" spans="1:11" x14ac:dyDescent="0.25">
      <c r="A196" s="227">
        <v>195</v>
      </c>
      <c r="B196" s="207" t="s">
        <v>407</v>
      </c>
      <c r="C196" s="207" t="s">
        <v>186</v>
      </c>
      <c r="D196" s="207" t="s">
        <v>538</v>
      </c>
      <c r="E196" s="244" t="str">
        <f>IF(pr_wd3Exudate="","Null", pr_wd3Exudate)</f>
        <v>Null</v>
      </c>
      <c r="F196" s="206" t="s">
        <v>880</v>
      </c>
      <c r="G196" s="205" t="s">
        <v>1012</v>
      </c>
      <c r="H196" s="205">
        <v>1</v>
      </c>
      <c r="I196" s="205">
        <v>50</v>
      </c>
      <c r="J196" s="205">
        <v>0</v>
      </c>
      <c r="K196" s="205">
        <v>0</v>
      </c>
    </row>
    <row r="197" spans="1:11" x14ac:dyDescent="0.25">
      <c r="A197" s="227">
        <v>196</v>
      </c>
      <c r="B197" s="207" t="s">
        <v>407</v>
      </c>
      <c r="C197" s="207" t="s">
        <v>444</v>
      </c>
      <c r="D197" s="207" t="s">
        <v>438</v>
      </c>
      <c r="E197" s="222" t="str">
        <f>IF(fac_genhealth="","Null", fac_genhealth)</f>
        <v>Null</v>
      </c>
      <c r="F197" s="206" t="s">
        <v>1014</v>
      </c>
      <c r="G197" s="205" t="s">
        <v>1012</v>
      </c>
      <c r="H197" s="205">
        <v>1</v>
      </c>
      <c r="I197" s="205">
        <v>1000</v>
      </c>
      <c r="J197" s="205">
        <v>0</v>
      </c>
      <c r="K197" s="205">
        <v>0</v>
      </c>
    </row>
    <row r="198" spans="1:11" x14ac:dyDescent="0.25">
      <c r="A198" s="227">
        <v>197</v>
      </c>
      <c r="B198" s="207" t="s">
        <v>407</v>
      </c>
      <c r="C198" s="207" t="s">
        <v>444</v>
      </c>
      <c r="D198" s="207" t="s">
        <v>439</v>
      </c>
      <c r="E198" s="222" t="str">
        <f>IF(fac_homenv="","Null", fac_homenv)</f>
        <v>Null</v>
      </c>
      <c r="F198" s="206" t="s">
        <v>1014</v>
      </c>
      <c r="G198" s="205" t="s">
        <v>1012</v>
      </c>
      <c r="H198" s="205">
        <v>1</v>
      </c>
      <c r="I198" s="205">
        <v>1000</v>
      </c>
      <c r="J198" s="205">
        <v>0</v>
      </c>
      <c r="K198" s="205">
        <v>0</v>
      </c>
    </row>
    <row r="199" spans="1:11" x14ac:dyDescent="0.25">
      <c r="A199" s="227">
        <v>198</v>
      </c>
      <c r="B199" s="207" t="s">
        <v>407</v>
      </c>
      <c r="C199" s="207" t="s">
        <v>444</v>
      </c>
      <c r="D199" s="207" t="s">
        <v>440</v>
      </c>
      <c r="E199" s="222" t="str">
        <f>IF(fac_mobi="","Null", fac_mobi)</f>
        <v>Null</v>
      </c>
      <c r="F199" s="206" t="s">
        <v>1014</v>
      </c>
      <c r="G199" s="205" t="s">
        <v>1012</v>
      </c>
      <c r="H199" s="205">
        <v>1</v>
      </c>
      <c r="I199" s="205">
        <v>1000</v>
      </c>
      <c r="J199" s="205">
        <v>0</v>
      </c>
      <c r="K199" s="205">
        <v>0</v>
      </c>
    </row>
    <row r="200" spans="1:11" x14ac:dyDescent="0.25">
      <c r="A200" s="227">
        <v>199</v>
      </c>
      <c r="B200" s="207" t="s">
        <v>407</v>
      </c>
      <c r="C200" s="207" t="s">
        <v>444</v>
      </c>
      <c r="D200" s="207" t="s">
        <v>441</v>
      </c>
      <c r="E200" s="222" t="str">
        <f>IF(fac_nutr="","Null", fac_nutr)</f>
        <v>Null</v>
      </c>
      <c r="F200" s="206" t="s">
        <v>1014</v>
      </c>
      <c r="G200" s="205" t="s">
        <v>1012</v>
      </c>
      <c r="H200" s="205">
        <v>1</v>
      </c>
      <c r="I200" s="205">
        <v>1000</v>
      </c>
      <c r="J200" s="205">
        <v>0</v>
      </c>
      <c r="K200" s="205">
        <v>0</v>
      </c>
    </row>
    <row r="201" spans="1:11" x14ac:dyDescent="0.25">
      <c r="A201" s="227">
        <v>200</v>
      </c>
      <c r="B201" s="207" t="s">
        <v>407</v>
      </c>
      <c r="C201" s="207" t="s">
        <v>444</v>
      </c>
      <c r="D201" s="207" t="s">
        <v>1037</v>
      </c>
      <c r="E201" s="222" t="str">
        <f>IF(fac_progTrPlDesc="","Null","""" &amp; CLEAN(SUBSTITUTE(fac_progTrPlDesc,CHAR(10)," ")) &amp; """")</f>
        <v>Null</v>
      </c>
      <c r="F201" s="206" t="s">
        <v>1014</v>
      </c>
      <c r="G201" s="205" t="s">
        <v>1012</v>
      </c>
      <c r="H201" s="205">
        <v>1</v>
      </c>
      <c r="I201" s="205">
        <v>1000</v>
      </c>
      <c r="J201" s="205">
        <v>0</v>
      </c>
      <c r="K201" s="205">
        <v>0</v>
      </c>
    </row>
    <row r="202" spans="1:11" x14ac:dyDescent="0.25">
      <c r="A202" s="227">
        <v>201</v>
      </c>
      <c r="B202" s="207" t="s">
        <v>407</v>
      </c>
      <c r="C202" s="207" t="s">
        <v>444</v>
      </c>
      <c r="D202" s="207" t="s">
        <v>442</v>
      </c>
      <c r="E202" s="222" t="str">
        <f>IF(fac_meds="","Null", fac_meds)</f>
        <v>Null</v>
      </c>
      <c r="F202" s="206" t="s">
        <v>1014</v>
      </c>
      <c r="G202" s="205" t="s">
        <v>1012</v>
      </c>
      <c r="H202" s="205">
        <v>1</v>
      </c>
      <c r="I202" s="205">
        <v>1000</v>
      </c>
      <c r="J202" s="205">
        <v>0</v>
      </c>
      <c r="K202" s="205">
        <v>0</v>
      </c>
    </row>
    <row r="203" spans="1:11" x14ac:dyDescent="0.25">
      <c r="A203" s="227">
        <v>202</v>
      </c>
      <c r="B203" s="207" t="s">
        <v>407</v>
      </c>
      <c r="C203" s="207" t="s">
        <v>444</v>
      </c>
      <c r="D203" s="207" t="s">
        <v>443</v>
      </c>
      <c r="E203" s="222" t="str">
        <f>IF(Progr_PrgToGoals="","Null","""" &amp; CLEAN(SUBSTITUTE(Progr_PrgToGoals,CHAR(10)," ")) &amp; """")</f>
        <v>Null</v>
      </c>
      <c r="F203" s="206" t="s">
        <v>1014</v>
      </c>
      <c r="G203" s="205" t="s">
        <v>1012</v>
      </c>
      <c r="H203" s="205">
        <v>1</v>
      </c>
      <c r="I203" s="205">
        <v>1000</v>
      </c>
      <c r="J203" s="205">
        <v>0</v>
      </c>
      <c r="K203" s="205">
        <v>0</v>
      </c>
    </row>
    <row r="204" spans="1:11" x14ac:dyDescent="0.25">
      <c r="A204" s="227">
        <v>203</v>
      </c>
      <c r="B204" s="207" t="s">
        <v>407</v>
      </c>
      <c r="C204" s="207" t="s">
        <v>445</v>
      </c>
      <c r="D204" s="207" t="s">
        <v>446</v>
      </c>
      <c r="E204" s="244" t="str">
        <f>IF(disc_Date="","Null", disc_Date)</f>
        <v>Null</v>
      </c>
      <c r="F204" s="206" t="s">
        <v>1014</v>
      </c>
      <c r="G204" s="205" t="s">
        <v>1010</v>
      </c>
      <c r="H204" s="205">
        <v>1</v>
      </c>
      <c r="I204" s="205">
        <v>10</v>
      </c>
      <c r="J204" s="205">
        <v>0</v>
      </c>
      <c r="K204" s="205">
        <v>0</v>
      </c>
    </row>
    <row r="205" spans="1:11" x14ac:dyDescent="0.25">
      <c r="A205" s="227">
        <v>204</v>
      </c>
      <c r="B205" s="207" t="s">
        <v>407</v>
      </c>
      <c r="C205" s="207" t="s">
        <v>445</v>
      </c>
      <c r="D205" s="207" t="s">
        <v>447</v>
      </c>
      <c r="E205" s="222" t="str">
        <f>IF(disc_goalsach="","Null", disc_goalsach)</f>
        <v>Null</v>
      </c>
      <c r="F205" s="206" t="s">
        <v>1014</v>
      </c>
      <c r="G205" s="205" t="s">
        <v>1012</v>
      </c>
      <c r="H205" s="205">
        <v>1</v>
      </c>
      <c r="I205" s="205">
        <v>1000</v>
      </c>
      <c r="J205" s="205">
        <v>0</v>
      </c>
      <c r="K205" s="205">
        <v>0</v>
      </c>
    </row>
    <row r="206" spans="1:11" x14ac:dyDescent="0.25">
      <c r="A206" s="227">
        <v>205</v>
      </c>
      <c r="B206" s="207" t="s">
        <v>407</v>
      </c>
      <c r="C206" s="207" t="s">
        <v>445</v>
      </c>
      <c r="D206" s="207" t="s">
        <v>448</v>
      </c>
      <c r="E206" s="222" t="str">
        <f>IF(disc_reason="","Null", disc_reason)</f>
        <v>Null</v>
      </c>
      <c r="F206" s="206" t="s">
        <v>1014</v>
      </c>
      <c r="G206" s="205" t="s">
        <v>1012</v>
      </c>
      <c r="H206" s="205">
        <v>1</v>
      </c>
      <c r="I206" s="205">
        <v>1000</v>
      </c>
      <c r="J206" s="205">
        <v>0</v>
      </c>
      <c r="K206" s="205">
        <v>0</v>
      </c>
    </row>
    <row r="207" spans="1:11" x14ac:dyDescent="0.25">
      <c r="A207" s="227">
        <v>206</v>
      </c>
      <c r="B207" s="207" t="s">
        <v>407</v>
      </c>
      <c r="C207" s="207" t="s">
        <v>445</v>
      </c>
      <c r="D207" s="207" t="s">
        <v>449</v>
      </c>
      <c r="E207" s="222" t="str">
        <f>IF(disc_otherrsn="","Null", disc_otherrsn)</f>
        <v>Null</v>
      </c>
      <c r="F207" s="206" t="s">
        <v>1014</v>
      </c>
      <c r="G207" s="205" t="s">
        <v>1012</v>
      </c>
      <c r="H207" s="205">
        <v>1</v>
      </c>
      <c r="I207" s="205">
        <v>1000</v>
      </c>
      <c r="J207" s="205">
        <v>0</v>
      </c>
      <c r="K207" s="205">
        <v>0</v>
      </c>
    </row>
    <row r="208" spans="1:11" x14ac:dyDescent="0.25">
      <c r="A208" s="227">
        <v>207</v>
      </c>
      <c r="B208" s="207" t="s">
        <v>163</v>
      </c>
      <c r="C208" s="207" t="s">
        <v>165</v>
      </c>
      <c r="D208" s="227" t="s">
        <v>886</v>
      </c>
      <c r="E208" s="222" t="str">
        <f>IF(Ass_Adress1="","Null", Ass_Adress1)</f>
        <v>Null</v>
      </c>
      <c r="F208" s="206" t="s">
        <v>868</v>
      </c>
      <c r="G208" s="205" t="s">
        <v>1012</v>
      </c>
      <c r="H208" s="205">
        <v>1</v>
      </c>
      <c r="I208" s="205">
        <v>50</v>
      </c>
      <c r="J208" s="205">
        <v>0</v>
      </c>
      <c r="K208" s="205">
        <v>0</v>
      </c>
    </row>
    <row r="209" spans="1:11" x14ac:dyDescent="0.25">
      <c r="A209" s="227">
        <v>208</v>
      </c>
      <c r="B209" s="207" t="s">
        <v>163</v>
      </c>
      <c r="C209" s="207" t="s">
        <v>165</v>
      </c>
      <c r="D209" s="205" t="s">
        <v>887</v>
      </c>
      <c r="E209" s="222" t="str">
        <f>IF(Ass_Adress2="","Null", Ass_Adress2)</f>
        <v>Null</v>
      </c>
      <c r="F209" s="206" t="s">
        <v>868</v>
      </c>
      <c r="G209" s="205" t="s">
        <v>1012</v>
      </c>
      <c r="H209" s="205">
        <v>1</v>
      </c>
      <c r="I209" s="205">
        <v>50</v>
      </c>
      <c r="J209" s="205">
        <v>0</v>
      </c>
      <c r="K209" s="205">
        <v>0</v>
      </c>
    </row>
    <row r="210" spans="1:11" x14ac:dyDescent="0.25">
      <c r="A210" s="227">
        <v>209</v>
      </c>
      <c r="B210" s="207" t="s">
        <v>163</v>
      </c>
      <c r="C210" s="207" t="s">
        <v>165</v>
      </c>
      <c r="D210" s="205" t="s">
        <v>888</v>
      </c>
      <c r="E210" s="222" t="str">
        <f>IF(Ass_Adress3="","Null", Ass_Adress3)</f>
        <v>Null</v>
      </c>
      <c r="F210" s="206" t="s">
        <v>868</v>
      </c>
      <c r="G210" s="205" t="s">
        <v>1012</v>
      </c>
      <c r="H210" s="205">
        <v>1</v>
      </c>
      <c r="I210" s="205">
        <v>50</v>
      </c>
      <c r="J210" s="205">
        <v>0</v>
      </c>
      <c r="K210" s="205">
        <v>0</v>
      </c>
    </row>
    <row r="211" spans="1:11" x14ac:dyDescent="0.25">
      <c r="A211" s="227">
        <v>210</v>
      </c>
      <c r="B211" s="207" t="s">
        <v>163</v>
      </c>
      <c r="C211" s="207" t="s">
        <v>165</v>
      </c>
      <c r="D211" s="205" t="s">
        <v>889</v>
      </c>
      <c r="E211" s="222" t="str">
        <f>IF(Ass_Adress4="","Null", Ass_Adress4)</f>
        <v>Null</v>
      </c>
      <c r="F211" s="206" t="s">
        <v>868</v>
      </c>
      <c r="G211" s="205" t="s">
        <v>1012</v>
      </c>
      <c r="H211" s="205">
        <v>1</v>
      </c>
      <c r="I211" s="205">
        <v>50</v>
      </c>
      <c r="J211" s="205">
        <v>0</v>
      </c>
      <c r="K211" s="205">
        <v>0</v>
      </c>
    </row>
    <row r="212" spans="1:11" x14ac:dyDescent="0.25">
      <c r="A212" s="227">
        <v>211</v>
      </c>
      <c r="B212" s="207" t="s">
        <v>163</v>
      </c>
      <c r="C212" s="207" t="s">
        <v>165</v>
      </c>
      <c r="D212" s="205" t="s">
        <v>890</v>
      </c>
      <c r="E212" s="222" t="str">
        <f>IF(Street_Code="","Null", Street_Code)</f>
        <v>Null</v>
      </c>
      <c r="F212" s="206" t="s">
        <v>868</v>
      </c>
      <c r="G212" s="205" t="s">
        <v>1012</v>
      </c>
      <c r="H212" s="205">
        <v>1</v>
      </c>
      <c r="I212" s="205">
        <v>50</v>
      </c>
      <c r="J212" s="205">
        <v>0</v>
      </c>
      <c r="K212" s="205">
        <v>0</v>
      </c>
    </row>
    <row r="213" spans="1:11" x14ac:dyDescent="0.25">
      <c r="A213" s="227">
        <v>212</v>
      </c>
      <c r="B213" s="207" t="s">
        <v>163</v>
      </c>
      <c r="C213" s="207" t="s">
        <v>165</v>
      </c>
      <c r="D213" s="205" t="s">
        <v>891</v>
      </c>
      <c r="E213" s="222" t="str">
        <f>IF(Ass_Postal1="","Null", Ass_Postal1)</f>
        <v>Null</v>
      </c>
      <c r="F213" s="206" t="s">
        <v>868</v>
      </c>
      <c r="G213" s="205" t="s">
        <v>1012</v>
      </c>
      <c r="H213" s="205">
        <v>1</v>
      </c>
      <c r="I213" s="205">
        <v>50</v>
      </c>
      <c r="J213" s="205">
        <v>0</v>
      </c>
      <c r="K213" s="205">
        <v>0</v>
      </c>
    </row>
    <row r="214" spans="1:11" x14ac:dyDescent="0.25">
      <c r="A214" s="227">
        <v>213</v>
      </c>
      <c r="B214" s="207" t="s">
        <v>163</v>
      </c>
      <c r="C214" s="207" t="s">
        <v>165</v>
      </c>
      <c r="D214" s="205" t="s">
        <v>892</v>
      </c>
      <c r="E214" s="222" t="str">
        <f>IF(Ass_Postal2="","Null", Ass_Postal2)</f>
        <v>Null</v>
      </c>
      <c r="F214" s="206" t="s">
        <v>868</v>
      </c>
      <c r="G214" s="205" t="s">
        <v>1012</v>
      </c>
      <c r="H214" s="205">
        <v>1</v>
      </c>
      <c r="I214" s="205">
        <v>50</v>
      </c>
      <c r="J214" s="205">
        <v>0</v>
      </c>
      <c r="K214" s="205">
        <v>0</v>
      </c>
    </row>
    <row r="215" spans="1:11" x14ac:dyDescent="0.25">
      <c r="A215" s="227">
        <v>214</v>
      </c>
      <c r="B215" s="207" t="s">
        <v>163</v>
      </c>
      <c r="C215" s="207" t="s">
        <v>165</v>
      </c>
      <c r="D215" s="205" t="s">
        <v>893</v>
      </c>
      <c r="E215" s="222" t="str">
        <f>IF(Ass_Postal3="","Null", Ass_Postal3)</f>
        <v>Null</v>
      </c>
      <c r="F215" s="206" t="s">
        <v>868</v>
      </c>
      <c r="G215" s="205" t="s">
        <v>1012</v>
      </c>
      <c r="H215" s="205">
        <v>1</v>
      </c>
      <c r="I215" s="205">
        <v>50</v>
      </c>
      <c r="J215" s="205">
        <v>0</v>
      </c>
      <c r="K215" s="205">
        <v>0</v>
      </c>
    </row>
    <row r="216" spans="1:11" x14ac:dyDescent="0.25">
      <c r="A216" s="227">
        <v>215</v>
      </c>
      <c r="B216" s="207" t="s">
        <v>163</v>
      </c>
      <c r="C216" s="207" t="s">
        <v>165</v>
      </c>
      <c r="D216" s="205" t="s">
        <v>894</v>
      </c>
      <c r="E216" s="222" t="str">
        <f>IF(Ass_Adress4="","Null", Ass_Adress4)</f>
        <v>Null</v>
      </c>
      <c r="F216" s="206" t="s">
        <v>868</v>
      </c>
      <c r="G216" s="205" t="s">
        <v>1012</v>
      </c>
      <c r="H216" s="205">
        <v>1</v>
      </c>
      <c r="I216" s="205">
        <v>50</v>
      </c>
      <c r="J216" s="205">
        <v>0</v>
      </c>
      <c r="K216" s="205">
        <v>0</v>
      </c>
    </row>
    <row r="217" spans="1:11" x14ac:dyDescent="0.25">
      <c r="A217" s="227">
        <v>216</v>
      </c>
      <c r="B217" s="207" t="s">
        <v>163</v>
      </c>
      <c r="C217" s="207" t="s">
        <v>165</v>
      </c>
      <c r="D217" s="205" t="s">
        <v>895</v>
      </c>
      <c r="E217" s="222" t="str">
        <f>IF(Postal_Code="","Null", Postal_Code)</f>
        <v>Null</v>
      </c>
      <c r="F217" s="206" t="s">
        <v>868</v>
      </c>
      <c r="G217" s="205" t="s">
        <v>1012</v>
      </c>
      <c r="H217" s="205">
        <v>1</v>
      </c>
      <c r="I217" s="205">
        <v>50</v>
      </c>
      <c r="J217" s="205">
        <v>0</v>
      </c>
      <c r="K217" s="205">
        <v>0</v>
      </c>
    </row>
    <row r="218" spans="1:11" x14ac:dyDescent="0.25">
      <c r="A218" s="227">
        <v>217</v>
      </c>
      <c r="B218" s="207" t="s">
        <v>163</v>
      </c>
      <c r="C218" s="207" t="s">
        <v>680</v>
      </c>
      <c r="D218" s="207" t="s">
        <v>555</v>
      </c>
      <c r="E218" s="222" t="str">
        <f>IF(Wnd4Cat="","Null", Wnd4Cat)</f>
        <v>Null</v>
      </c>
      <c r="F218" s="206" t="s">
        <v>874</v>
      </c>
      <c r="G218" s="205" t="s">
        <v>1012</v>
      </c>
      <c r="H218" s="205">
        <v>1</v>
      </c>
      <c r="I218" s="205">
        <v>500</v>
      </c>
      <c r="J218" s="205">
        <v>0</v>
      </c>
      <c r="K218" s="205">
        <v>0</v>
      </c>
    </row>
    <row r="219" spans="1:11" x14ac:dyDescent="0.25">
      <c r="A219" s="227">
        <v>218</v>
      </c>
      <c r="B219" s="207" t="s">
        <v>163</v>
      </c>
      <c r="C219" s="207" t="s">
        <v>680</v>
      </c>
      <c r="D219" s="207" t="s">
        <v>556</v>
      </c>
      <c r="E219" s="222" t="str">
        <f>IF(wd_4loc="","Null", wd_4loc)</f>
        <v>Null</v>
      </c>
      <c r="F219" s="206" t="s">
        <v>871</v>
      </c>
      <c r="G219" s="205" t="s">
        <v>1012</v>
      </c>
      <c r="H219" s="205">
        <v>1</v>
      </c>
      <c r="I219" s="205">
        <v>50</v>
      </c>
      <c r="J219" s="205">
        <v>0</v>
      </c>
      <c r="K219" s="205">
        <v>0</v>
      </c>
    </row>
    <row r="220" spans="1:11" x14ac:dyDescent="0.25">
      <c r="A220" s="227">
        <v>219</v>
      </c>
      <c r="B220" s="207" t="s">
        <v>163</v>
      </c>
      <c r="C220" s="207" t="s">
        <v>680</v>
      </c>
      <c r="D220" s="207" t="s">
        <v>913</v>
      </c>
      <c r="E220" s="222" t="str">
        <f>IF(wd_4type="","Null", wd_4type)</f>
        <v>Null</v>
      </c>
      <c r="F220" s="206" t="s">
        <v>872</v>
      </c>
      <c r="G220" s="205" t="s">
        <v>1012</v>
      </c>
      <c r="H220" s="205">
        <v>1</v>
      </c>
      <c r="I220" s="205">
        <v>500</v>
      </c>
      <c r="J220" s="205">
        <v>0</v>
      </c>
      <c r="K220" s="205">
        <v>0</v>
      </c>
    </row>
    <row r="221" spans="1:11" x14ac:dyDescent="0.25">
      <c r="A221" s="227">
        <v>220</v>
      </c>
      <c r="B221" s="207" t="s">
        <v>163</v>
      </c>
      <c r="C221" s="207" t="s">
        <v>680</v>
      </c>
      <c r="D221" s="207" t="s">
        <v>557</v>
      </c>
      <c r="E221" s="222" t="str">
        <f>IF(wd_4tysub="","Null", wd_4tysub)</f>
        <v>Null</v>
      </c>
      <c r="F221" s="206" t="s">
        <v>873</v>
      </c>
      <c r="G221" s="205" t="s">
        <v>1012</v>
      </c>
      <c r="H221" s="205">
        <v>1</v>
      </c>
      <c r="I221" s="205">
        <v>500</v>
      </c>
      <c r="J221" s="205">
        <v>0</v>
      </c>
      <c r="K221" s="205">
        <v>0</v>
      </c>
    </row>
    <row r="222" spans="1:11" x14ac:dyDescent="0.25">
      <c r="A222" s="227">
        <v>221</v>
      </c>
      <c r="B222" s="207" t="s">
        <v>163</v>
      </c>
      <c r="C222" s="207" t="s">
        <v>680</v>
      </c>
      <c r="D222" s="207" t="s">
        <v>558</v>
      </c>
      <c r="E222" s="222" t="str">
        <f>IF(wd_4chronic="","Null", wd_4chronic)</f>
        <v>Null</v>
      </c>
      <c r="F222" s="206" t="s">
        <v>874</v>
      </c>
      <c r="G222" s="205" t="s">
        <v>1012</v>
      </c>
      <c r="H222" s="205">
        <v>1</v>
      </c>
      <c r="I222" s="205">
        <v>50</v>
      </c>
      <c r="J222" s="205">
        <v>0</v>
      </c>
      <c r="K222" s="205">
        <v>0</v>
      </c>
    </row>
    <row r="223" spans="1:11" x14ac:dyDescent="0.25">
      <c r="A223" s="227">
        <v>222</v>
      </c>
      <c r="B223" s="207" t="s">
        <v>163</v>
      </c>
      <c r="C223" s="207" t="s">
        <v>680</v>
      </c>
      <c r="D223" s="207" t="s">
        <v>559</v>
      </c>
      <c r="E223" s="208" t="b">
        <v>0</v>
      </c>
      <c r="F223" s="206" t="s">
        <v>874</v>
      </c>
      <c r="G223" s="205" t="s">
        <v>1012</v>
      </c>
      <c r="H223" s="205">
        <v>1</v>
      </c>
      <c r="I223" s="205">
        <v>50</v>
      </c>
      <c r="J223" s="205">
        <v>0</v>
      </c>
      <c r="K223" s="205">
        <v>0</v>
      </c>
    </row>
    <row r="224" spans="1:11" x14ac:dyDescent="0.25">
      <c r="A224" s="227">
        <v>223</v>
      </c>
      <c r="B224" s="207" t="s">
        <v>163</v>
      </c>
      <c r="C224" s="207" t="s">
        <v>680</v>
      </c>
      <c r="D224" s="207" t="s">
        <v>560</v>
      </c>
      <c r="E224" s="222" t="str">
        <f>IF(wd_4moist="","Null", wd_4moist)</f>
        <v>Null</v>
      </c>
      <c r="F224" s="206" t="s">
        <v>874</v>
      </c>
      <c r="G224" s="205" t="s">
        <v>1012</v>
      </c>
      <c r="H224" s="205">
        <v>1</v>
      </c>
      <c r="I224" s="205">
        <v>50</v>
      </c>
      <c r="J224" s="205">
        <v>0</v>
      </c>
      <c r="K224" s="205">
        <v>0</v>
      </c>
    </row>
    <row r="225" spans="1:11" x14ac:dyDescent="0.25">
      <c r="A225" s="227">
        <v>224</v>
      </c>
      <c r="B225" s="207" t="s">
        <v>163</v>
      </c>
      <c r="C225" s="207" t="s">
        <v>680</v>
      </c>
      <c r="D225" s="207" t="s">
        <v>561</v>
      </c>
      <c r="E225" s="222" t="str">
        <f>IF(wd_4edge="","Null", wd_4edge)</f>
        <v>Null</v>
      </c>
      <c r="F225" s="206" t="s">
        <v>874</v>
      </c>
      <c r="G225" s="205" t="s">
        <v>1012</v>
      </c>
      <c r="H225" s="205">
        <v>1</v>
      </c>
      <c r="I225" s="205">
        <v>50</v>
      </c>
      <c r="J225" s="205">
        <v>0</v>
      </c>
      <c r="K225" s="205">
        <v>0</v>
      </c>
    </row>
    <row r="226" spans="1:11" x14ac:dyDescent="0.25">
      <c r="A226" s="227">
        <v>225</v>
      </c>
      <c r="B226" s="207" t="s">
        <v>163</v>
      </c>
      <c r="C226" s="207" t="s">
        <v>680</v>
      </c>
      <c r="D226" s="207" t="s">
        <v>562</v>
      </c>
      <c r="E226" s="222" t="str">
        <f>IF(wd_4len="","Null", wd_4len)</f>
        <v>Null</v>
      </c>
      <c r="F226" s="206" t="s">
        <v>874</v>
      </c>
      <c r="G226" s="205" t="s">
        <v>1012</v>
      </c>
      <c r="H226" s="205">
        <v>1</v>
      </c>
      <c r="I226" s="205">
        <v>50</v>
      </c>
      <c r="J226" s="205">
        <v>0</v>
      </c>
      <c r="K226" s="205">
        <v>0</v>
      </c>
    </row>
    <row r="227" spans="1:11" x14ac:dyDescent="0.25">
      <c r="A227" s="227">
        <v>226</v>
      </c>
      <c r="B227" s="207" t="s">
        <v>163</v>
      </c>
      <c r="C227" s="207" t="s">
        <v>680</v>
      </c>
      <c r="D227" s="207" t="s">
        <v>563</v>
      </c>
      <c r="E227" s="222" t="str">
        <f>IF(wd_4wid="","Null", wd_4wid)</f>
        <v>Null</v>
      </c>
      <c r="F227" s="206" t="s">
        <v>874</v>
      </c>
      <c r="G227" s="205" t="s">
        <v>1012</v>
      </c>
      <c r="H227" s="205">
        <v>1</v>
      </c>
      <c r="I227" s="205">
        <v>50</v>
      </c>
      <c r="J227" s="205">
        <v>0</v>
      </c>
      <c r="K227" s="205">
        <v>0</v>
      </c>
    </row>
    <row r="228" spans="1:11" x14ac:dyDescent="0.25">
      <c r="A228" s="227">
        <v>227</v>
      </c>
      <c r="B228" s="207" t="s">
        <v>163</v>
      </c>
      <c r="C228" s="207" t="s">
        <v>680</v>
      </c>
      <c r="D228" s="207" t="s">
        <v>564</v>
      </c>
      <c r="E228" s="222" t="str">
        <f>IF(wd_4dep="","Null", wd_4dep)</f>
        <v>Null</v>
      </c>
      <c r="F228" s="206" t="s">
        <v>874</v>
      </c>
      <c r="G228" s="205" t="s">
        <v>1012</v>
      </c>
      <c r="H228" s="205">
        <v>1</v>
      </c>
      <c r="I228" s="205">
        <v>50</v>
      </c>
      <c r="J228" s="205">
        <v>0</v>
      </c>
      <c r="K228" s="205">
        <v>0</v>
      </c>
    </row>
    <row r="229" spans="1:11" x14ac:dyDescent="0.25">
      <c r="A229" s="227">
        <v>228</v>
      </c>
      <c r="B229" s="207" t="s">
        <v>163</v>
      </c>
      <c r="C229" s="207" t="s">
        <v>680</v>
      </c>
      <c r="D229" s="207" t="s">
        <v>565</v>
      </c>
      <c r="E229" s="222" t="str">
        <f>IF(wnd_4tunl="","Null", wnd_4tunl)</f>
        <v>Null</v>
      </c>
      <c r="F229" s="206" t="s">
        <v>874</v>
      </c>
      <c r="G229" s="205" t="s">
        <v>1012</v>
      </c>
      <c r="H229" s="205">
        <v>1</v>
      </c>
      <c r="I229" s="205">
        <v>50</v>
      </c>
      <c r="J229" s="205">
        <v>0</v>
      </c>
      <c r="K229" s="205">
        <v>0</v>
      </c>
    </row>
    <row r="230" spans="1:11" x14ac:dyDescent="0.25">
      <c r="A230" s="227">
        <v>229</v>
      </c>
      <c r="B230" s="207" t="s">
        <v>163</v>
      </c>
      <c r="C230" s="207" t="s">
        <v>680</v>
      </c>
      <c r="D230" s="207" t="s">
        <v>566</v>
      </c>
      <c r="E230" s="222" t="str">
        <f>IF(wnd_4undm="","Null", wnd_4undm)</f>
        <v>Null</v>
      </c>
      <c r="F230" s="206" t="s">
        <v>874</v>
      </c>
      <c r="G230" s="205" t="s">
        <v>1012</v>
      </c>
      <c r="H230" s="205">
        <v>1</v>
      </c>
      <c r="I230" s="205">
        <v>50</v>
      </c>
      <c r="J230" s="205">
        <v>0</v>
      </c>
      <c r="K230" s="205">
        <v>0</v>
      </c>
    </row>
    <row r="231" spans="1:11" x14ac:dyDescent="0.25">
      <c r="A231" s="227">
        <v>230</v>
      </c>
      <c r="B231" s="207" t="s">
        <v>163</v>
      </c>
      <c r="C231" s="207" t="s">
        <v>680</v>
      </c>
      <c r="D231" s="207" t="s">
        <v>567</v>
      </c>
      <c r="E231" s="244" t="str">
        <f>IF(wnd_4debr="","Null", wnd_4debr)</f>
        <v>Null</v>
      </c>
      <c r="F231" s="206" t="s">
        <v>874</v>
      </c>
      <c r="G231" s="205" t="s">
        <v>1010</v>
      </c>
      <c r="H231" s="205">
        <v>1</v>
      </c>
      <c r="I231" s="205">
        <v>10</v>
      </c>
      <c r="J231" s="205">
        <v>0</v>
      </c>
      <c r="K231" s="205">
        <v>0</v>
      </c>
    </row>
    <row r="232" spans="1:11" x14ac:dyDescent="0.25">
      <c r="A232" s="227">
        <v>231</v>
      </c>
      <c r="B232" s="207" t="s">
        <v>163</v>
      </c>
      <c r="C232" s="207" t="s">
        <v>680</v>
      </c>
      <c r="D232" s="207" t="s">
        <v>568</v>
      </c>
      <c r="E232" s="208" t="b">
        <v>0</v>
      </c>
      <c r="F232" s="206" t="s">
        <v>874</v>
      </c>
      <c r="G232" s="205" t="s">
        <v>1012</v>
      </c>
      <c r="H232" s="205">
        <v>1</v>
      </c>
      <c r="I232" s="205">
        <v>50</v>
      </c>
      <c r="J232" s="205">
        <v>0</v>
      </c>
      <c r="K232" s="205">
        <v>0</v>
      </c>
    </row>
    <row r="233" spans="1:11" x14ac:dyDescent="0.25">
      <c r="A233" s="227">
        <v>232</v>
      </c>
      <c r="B233" s="207" t="s">
        <v>163</v>
      </c>
      <c r="C233" s="207" t="s">
        <v>680</v>
      </c>
      <c r="D233" s="207" t="s">
        <v>569</v>
      </c>
      <c r="E233" s="208" t="b">
        <v>0</v>
      </c>
      <c r="F233" s="206" t="s">
        <v>874</v>
      </c>
      <c r="G233" s="205" t="s">
        <v>1012</v>
      </c>
      <c r="H233" s="205">
        <v>1</v>
      </c>
      <c r="I233" s="205">
        <v>50</v>
      </c>
      <c r="J233" s="205">
        <v>0</v>
      </c>
      <c r="K233" s="205">
        <v>0</v>
      </c>
    </row>
    <row r="234" spans="1:11" x14ac:dyDescent="0.25">
      <c r="A234" s="227">
        <v>233</v>
      </c>
      <c r="B234" s="207" t="s">
        <v>163</v>
      </c>
      <c r="C234" s="207" t="s">
        <v>680</v>
      </c>
      <c r="D234" s="207" t="s">
        <v>570</v>
      </c>
      <c r="E234" s="208" t="b">
        <v>0</v>
      </c>
      <c r="F234" s="206" t="s">
        <v>874</v>
      </c>
      <c r="G234" s="205" t="s">
        <v>1012</v>
      </c>
      <c r="H234" s="205">
        <v>1</v>
      </c>
      <c r="I234" s="205">
        <v>50</v>
      </c>
      <c r="J234" s="205">
        <v>0</v>
      </c>
      <c r="K234" s="205">
        <v>0</v>
      </c>
    </row>
    <row r="235" spans="1:11" x14ac:dyDescent="0.25">
      <c r="A235" s="227">
        <v>234</v>
      </c>
      <c r="B235" s="207" t="s">
        <v>163</v>
      </c>
      <c r="C235" s="207" t="s">
        <v>680</v>
      </c>
      <c r="D235" s="207" t="s">
        <v>571</v>
      </c>
      <c r="E235" s="208" t="b">
        <v>0</v>
      </c>
      <c r="F235" s="206" t="s">
        <v>874</v>
      </c>
      <c r="G235" s="205" t="s">
        <v>1012</v>
      </c>
      <c r="H235" s="205">
        <v>1</v>
      </c>
      <c r="I235" s="205">
        <v>50</v>
      </c>
      <c r="J235" s="205">
        <v>0</v>
      </c>
      <c r="K235" s="205">
        <v>0</v>
      </c>
    </row>
    <row r="236" spans="1:11" x14ac:dyDescent="0.25">
      <c r="A236" s="227">
        <v>235</v>
      </c>
      <c r="B236" s="207" t="s">
        <v>163</v>
      </c>
      <c r="C236" s="207" t="s">
        <v>680</v>
      </c>
      <c r="D236" s="207" t="s">
        <v>572</v>
      </c>
      <c r="E236" s="208" t="b">
        <v>0</v>
      </c>
      <c r="F236" s="206" t="s">
        <v>874</v>
      </c>
      <c r="G236" s="205" t="s">
        <v>1012</v>
      </c>
      <c r="H236" s="205">
        <v>1</v>
      </c>
      <c r="I236" s="205">
        <v>50</v>
      </c>
      <c r="J236" s="205">
        <v>0</v>
      </c>
      <c r="K236" s="205">
        <v>0</v>
      </c>
    </row>
    <row r="237" spans="1:11" x14ac:dyDescent="0.25">
      <c r="A237" s="227">
        <v>236</v>
      </c>
      <c r="B237" s="207" t="s">
        <v>163</v>
      </c>
      <c r="C237" s="207" t="s">
        <v>680</v>
      </c>
      <c r="D237" s="207" t="s">
        <v>573</v>
      </c>
      <c r="E237" s="208" t="b">
        <v>0</v>
      </c>
      <c r="F237" s="206" t="s">
        <v>874</v>
      </c>
      <c r="G237" s="205" t="s">
        <v>1012</v>
      </c>
      <c r="H237" s="205">
        <v>1</v>
      </c>
      <c r="I237" s="205">
        <v>50</v>
      </c>
      <c r="J237" s="205">
        <v>0</v>
      </c>
      <c r="K237" s="205">
        <v>0</v>
      </c>
    </row>
    <row r="238" spans="1:11" x14ac:dyDescent="0.25">
      <c r="A238" s="227">
        <v>237</v>
      </c>
      <c r="B238" s="207" t="s">
        <v>163</v>
      </c>
      <c r="C238" s="207" t="s">
        <v>680</v>
      </c>
      <c r="D238" s="207" t="s">
        <v>574</v>
      </c>
      <c r="E238" s="244" t="str">
        <f>IF(wd_4exud="","Null", wd_4exud)</f>
        <v>Null</v>
      </c>
      <c r="F238" s="206" t="s">
        <v>874</v>
      </c>
      <c r="G238" s="205" t="s">
        <v>1012</v>
      </c>
      <c r="H238" s="205">
        <v>1</v>
      </c>
      <c r="I238" s="205">
        <v>50</v>
      </c>
      <c r="J238" s="205">
        <v>0</v>
      </c>
      <c r="K238" s="205">
        <v>0</v>
      </c>
    </row>
    <row r="239" spans="1:11" x14ac:dyDescent="0.25">
      <c r="A239" s="227">
        <v>238</v>
      </c>
      <c r="B239" s="207" t="s">
        <v>163</v>
      </c>
      <c r="C239" s="207" t="s">
        <v>681</v>
      </c>
      <c r="D239" s="207" t="s">
        <v>575</v>
      </c>
      <c r="E239" s="222" t="str">
        <f>IF(Wnd5Cat="","Null", Wnd5Cat)</f>
        <v>Null</v>
      </c>
      <c r="F239" s="206" t="s">
        <v>870</v>
      </c>
      <c r="G239" s="205" t="s">
        <v>1012</v>
      </c>
      <c r="H239" s="205">
        <v>1</v>
      </c>
      <c r="I239" s="205">
        <v>500</v>
      </c>
      <c r="J239" s="205">
        <v>0</v>
      </c>
      <c r="K239" s="205">
        <v>0</v>
      </c>
    </row>
    <row r="240" spans="1:11" x14ac:dyDescent="0.25">
      <c r="A240" s="227">
        <v>239</v>
      </c>
      <c r="B240" s="207" t="s">
        <v>163</v>
      </c>
      <c r="C240" s="207" t="s">
        <v>681</v>
      </c>
      <c r="D240" s="207" t="s">
        <v>576</v>
      </c>
      <c r="E240" s="222" t="str">
        <f>IF(wd_5loc="","Null", wd_5loc)</f>
        <v>Null</v>
      </c>
      <c r="F240" s="206" t="s">
        <v>871</v>
      </c>
      <c r="G240" s="205" t="s">
        <v>1012</v>
      </c>
      <c r="H240" s="205">
        <v>1</v>
      </c>
      <c r="I240" s="205">
        <v>50</v>
      </c>
      <c r="J240" s="205">
        <v>0</v>
      </c>
      <c r="K240" s="205">
        <v>0</v>
      </c>
    </row>
    <row r="241" spans="1:11" x14ac:dyDescent="0.25">
      <c r="A241" s="227">
        <v>240</v>
      </c>
      <c r="B241" s="207" t="s">
        <v>163</v>
      </c>
      <c r="C241" s="207" t="s">
        <v>681</v>
      </c>
      <c r="D241" s="207" t="s">
        <v>577</v>
      </c>
      <c r="E241" s="222" t="str">
        <f>IF(wd_5type="","Null", wd_5type)</f>
        <v>Null</v>
      </c>
      <c r="F241" s="206" t="s">
        <v>872</v>
      </c>
      <c r="G241" s="205" t="s">
        <v>1012</v>
      </c>
      <c r="H241" s="205">
        <v>1</v>
      </c>
      <c r="I241" s="205">
        <v>500</v>
      </c>
      <c r="J241" s="205">
        <v>0</v>
      </c>
      <c r="K241" s="205">
        <v>0</v>
      </c>
    </row>
    <row r="242" spans="1:11" x14ac:dyDescent="0.25">
      <c r="A242" s="227">
        <v>241</v>
      </c>
      <c r="B242" s="207" t="s">
        <v>163</v>
      </c>
      <c r="C242" s="207" t="s">
        <v>681</v>
      </c>
      <c r="D242" s="207" t="s">
        <v>578</v>
      </c>
      <c r="E242" s="222" t="str">
        <f>IF(wd_5tysub="","Null", wd_5tysub)</f>
        <v>Null</v>
      </c>
      <c r="F242" s="206" t="s">
        <v>873</v>
      </c>
      <c r="G242" s="205" t="s">
        <v>1012</v>
      </c>
      <c r="H242" s="205">
        <v>1</v>
      </c>
      <c r="I242" s="205">
        <v>500</v>
      </c>
      <c r="J242" s="205">
        <v>0</v>
      </c>
      <c r="K242" s="205">
        <v>0</v>
      </c>
    </row>
    <row r="243" spans="1:11" x14ac:dyDescent="0.25">
      <c r="A243" s="227">
        <v>242</v>
      </c>
      <c r="B243" s="207" t="s">
        <v>163</v>
      </c>
      <c r="C243" s="207" t="s">
        <v>681</v>
      </c>
      <c r="D243" s="207" t="s">
        <v>579</v>
      </c>
      <c r="E243" s="222" t="str">
        <f>IF(wd_5chronic="","Null", wd_5chronic)</f>
        <v>Null</v>
      </c>
      <c r="F243" s="206" t="s">
        <v>874</v>
      </c>
      <c r="G243" s="205" t="s">
        <v>1012</v>
      </c>
      <c r="H243" s="205">
        <v>1</v>
      </c>
      <c r="I243" s="205">
        <v>50</v>
      </c>
      <c r="J243" s="205">
        <v>0</v>
      </c>
      <c r="K243" s="205">
        <v>0</v>
      </c>
    </row>
    <row r="244" spans="1:11" x14ac:dyDescent="0.25">
      <c r="A244" s="227">
        <v>243</v>
      </c>
      <c r="B244" s="207" t="s">
        <v>163</v>
      </c>
      <c r="C244" s="207" t="s">
        <v>681</v>
      </c>
      <c r="D244" s="207" t="s">
        <v>580</v>
      </c>
      <c r="E244" s="208" t="b">
        <v>0</v>
      </c>
      <c r="F244" s="206" t="s">
        <v>874</v>
      </c>
      <c r="G244" s="205" t="s">
        <v>1012</v>
      </c>
      <c r="H244" s="205">
        <v>1</v>
      </c>
      <c r="I244" s="205">
        <v>50</v>
      </c>
      <c r="J244" s="205">
        <v>0</v>
      </c>
      <c r="K244" s="205">
        <v>0</v>
      </c>
    </row>
    <row r="245" spans="1:11" x14ac:dyDescent="0.25">
      <c r="A245" s="227">
        <v>244</v>
      </c>
      <c r="B245" s="207" t="s">
        <v>163</v>
      </c>
      <c r="C245" s="207" t="s">
        <v>681</v>
      </c>
      <c r="D245" s="207" t="s">
        <v>581</v>
      </c>
      <c r="E245" s="222" t="str">
        <f>IF(wd_5moist="","Null", wd_5moist)</f>
        <v>Null</v>
      </c>
      <c r="F245" s="206" t="s">
        <v>874</v>
      </c>
      <c r="G245" s="205" t="s">
        <v>1012</v>
      </c>
      <c r="H245" s="205">
        <v>1</v>
      </c>
      <c r="I245" s="205">
        <v>50</v>
      </c>
      <c r="J245" s="205">
        <v>0</v>
      </c>
      <c r="K245" s="205">
        <v>0</v>
      </c>
    </row>
    <row r="246" spans="1:11" x14ac:dyDescent="0.25">
      <c r="A246" s="227">
        <v>245</v>
      </c>
      <c r="B246" s="207" t="s">
        <v>163</v>
      </c>
      <c r="C246" s="207" t="s">
        <v>681</v>
      </c>
      <c r="D246" s="207" t="s">
        <v>582</v>
      </c>
      <c r="E246" s="222" t="str">
        <f>IF(wd_5edge="","Null", wd_5edge)</f>
        <v>Null</v>
      </c>
      <c r="F246" s="206" t="s">
        <v>874</v>
      </c>
      <c r="G246" s="205" t="s">
        <v>1012</v>
      </c>
      <c r="H246" s="205">
        <v>1</v>
      </c>
      <c r="I246" s="205">
        <v>50</v>
      </c>
      <c r="J246" s="205">
        <v>0</v>
      </c>
      <c r="K246" s="205">
        <v>0</v>
      </c>
    </row>
    <row r="247" spans="1:11" x14ac:dyDescent="0.25">
      <c r="A247" s="227">
        <v>246</v>
      </c>
      <c r="B247" s="207" t="s">
        <v>163</v>
      </c>
      <c r="C247" s="207" t="s">
        <v>681</v>
      </c>
      <c r="D247" s="207" t="s">
        <v>583</v>
      </c>
      <c r="E247" s="222" t="str">
        <f>IF(wd_5len="","Null", wd_5len)</f>
        <v>Null</v>
      </c>
      <c r="F247" s="206" t="s">
        <v>874</v>
      </c>
      <c r="G247" s="205" t="s">
        <v>1012</v>
      </c>
      <c r="H247" s="205">
        <v>1</v>
      </c>
      <c r="I247" s="205">
        <v>50</v>
      </c>
      <c r="J247" s="205">
        <v>0</v>
      </c>
      <c r="K247" s="205">
        <v>0</v>
      </c>
    </row>
    <row r="248" spans="1:11" x14ac:dyDescent="0.25">
      <c r="A248" s="227">
        <v>247</v>
      </c>
      <c r="B248" s="207" t="s">
        <v>163</v>
      </c>
      <c r="C248" s="207" t="s">
        <v>681</v>
      </c>
      <c r="D248" s="207" t="s">
        <v>584</v>
      </c>
      <c r="E248" s="222" t="str">
        <f>IF(wd_5wid="","Null", wd_5wid)</f>
        <v>Null</v>
      </c>
      <c r="F248" s="206" t="s">
        <v>874</v>
      </c>
      <c r="G248" s="205" t="s">
        <v>1012</v>
      </c>
      <c r="H248" s="205">
        <v>1</v>
      </c>
      <c r="I248" s="205">
        <v>50</v>
      </c>
      <c r="J248" s="205">
        <v>0</v>
      </c>
      <c r="K248" s="205">
        <v>0</v>
      </c>
    </row>
    <row r="249" spans="1:11" x14ac:dyDescent="0.25">
      <c r="A249" s="227">
        <v>248</v>
      </c>
      <c r="B249" s="207" t="s">
        <v>163</v>
      </c>
      <c r="C249" s="207" t="s">
        <v>681</v>
      </c>
      <c r="D249" s="207" t="s">
        <v>585</v>
      </c>
      <c r="E249" s="222" t="str">
        <f>IF(wd_5dep="","Null", wd_5dep)</f>
        <v>Null</v>
      </c>
      <c r="F249" s="206" t="s">
        <v>874</v>
      </c>
      <c r="G249" s="205" t="s">
        <v>1012</v>
      </c>
      <c r="H249" s="205">
        <v>1</v>
      </c>
      <c r="I249" s="205">
        <v>50</v>
      </c>
      <c r="J249" s="205">
        <v>0</v>
      </c>
      <c r="K249" s="205">
        <v>0</v>
      </c>
    </row>
    <row r="250" spans="1:11" x14ac:dyDescent="0.25">
      <c r="A250" s="227">
        <v>249</v>
      </c>
      <c r="B250" s="207" t="s">
        <v>163</v>
      </c>
      <c r="C250" s="207" t="s">
        <v>681</v>
      </c>
      <c r="D250" s="207" t="s">
        <v>586</v>
      </c>
      <c r="E250" s="222" t="str">
        <f>IF(wnd_5tunl="","Null", wnd_5tunl)</f>
        <v>Null</v>
      </c>
      <c r="F250" s="206" t="s">
        <v>874</v>
      </c>
      <c r="G250" s="205" t="s">
        <v>1012</v>
      </c>
      <c r="H250" s="205">
        <v>1</v>
      </c>
      <c r="I250" s="205">
        <v>50</v>
      </c>
      <c r="J250" s="205">
        <v>0</v>
      </c>
      <c r="K250" s="205">
        <v>0</v>
      </c>
    </row>
    <row r="251" spans="1:11" x14ac:dyDescent="0.25">
      <c r="A251" s="227">
        <v>250</v>
      </c>
      <c r="B251" s="207" t="s">
        <v>163</v>
      </c>
      <c r="C251" s="207" t="s">
        <v>681</v>
      </c>
      <c r="D251" s="207" t="s">
        <v>587</v>
      </c>
      <c r="E251" s="222" t="str">
        <f>IF(wnd_5undm="","Null", wnd_5undm)</f>
        <v>Null</v>
      </c>
      <c r="F251" s="206" t="s">
        <v>874</v>
      </c>
      <c r="G251" s="205" t="s">
        <v>1012</v>
      </c>
      <c r="H251" s="205">
        <v>1</v>
      </c>
      <c r="I251" s="205">
        <v>50</v>
      </c>
      <c r="J251" s="205">
        <v>0</v>
      </c>
      <c r="K251" s="205">
        <v>0</v>
      </c>
    </row>
    <row r="252" spans="1:11" x14ac:dyDescent="0.25">
      <c r="A252" s="227">
        <v>251</v>
      </c>
      <c r="B252" s="207" t="s">
        <v>163</v>
      </c>
      <c r="C252" s="207" t="s">
        <v>681</v>
      </c>
      <c r="D252" s="207" t="s">
        <v>588</v>
      </c>
      <c r="E252" s="244" t="str">
        <f>IF(wnd_5debr="","Null", wnd_5debr)</f>
        <v>Null</v>
      </c>
      <c r="F252" s="206" t="s">
        <v>874</v>
      </c>
      <c r="G252" s="205" t="s">
        <v>1010</v>
      </c>
      <c r="H252" s="205">
        <v>1</v>
      </c>
      <c r="I252" s="205">
        <v>10</v>
      </c>
      <c r="J252" s="205">
        <v>0</v>
      </c>
      <c r="K252" s="205">
        <v>0</v>
      </c>
    </row>
    <row r="253" spans="1:11" x14ac:dyDescent="0.25">
      <c r="A253" s="227">
        <v>252</v>
      </c>
      <c r="B253" s="207" t="s">
        <v>163</v>
      </c>
      <c r="C253" s="207" t="s">
        <v>681</v>
      </c>
      <c r="D253" s="207" t="s">
        <v>589</v>
      </c>
      <c r="E253" s="208" t="b">
        <v>0</v>
      </c>
      <c r="F253" s="206" t="s">
        <v>874</v>
      </c>
      <c r="G253" s="205" t="s">
        <v>1012</v>
      </c>
      <c r="H253" s="205">
        <v>1</v>
      </c>
      <c r="I253" s="205">
        <v>50</v>
      </c>
      <c r="J253" s="205">
        <v>0</v>
      </c>
      <c r="K253" s="205">
        <v>0</v>
      </c>
    </row>
    <row r="254" spans="1:11" x14ac:dyDescent="0.25">
      <c r="A254" s="227">
        <v>253</v>
      </c>
      <c r="B254" s="207" t="s">
        <v>163</v>
      </c>
      <c r="C254" s="207" t="s">
        <v>681</v>
      </c>
      <c r="D254" s="207" t="s">
        <v>590</v>
      </c>
      <c r="E254" s="208" t="b">
        <v>0</v>
      </c>
      <c r="F254" s="206" t="s">
        <v>874</v>
      </c>
      <c r="G254" s="205" t="s">
        <v>1012</v>
      </c>
      <c r="H254" s="205">
        <v>1</v>
      </c>
      <c r="I254" s="205">
        <v>50</v>
      </c>
      <c r="J254" s="205">
        <v>0</v>
      </c>
      <c r="K254" s="205">
        <v>0</v>
      </c>
    </row>
    <row r="255" spans="1:11" x14ac:dyDescent="0.25">
      <c r="A255" s="227">
        <v>254</v>
      </c>
      <c r="B255" s="207" t="s">
        <v>163</v>
      </c>
      <c r="C255" s="207" t="s">
        <v>681</v>
      </c>
      <c r="D255" s="207" t="s">
        <v>591</v>
      </c>
      <c r="E255" s="208" t="b">
        <v>0</v>
      </c>
      <c r="F255" s="206" t="s">
        <v>874</v>
      </c>
      <c r="G255" s="205" t="s">
        <v>1012</v>
      </c>
      <c r="H255" s="205">
        <v>1</v>
      </c>
      <c r="I255" s="205">
        <v>50</v>
      </c>
      <c r="J255" s="205">
        <v>0</v>
      </c>
      <c r="K255" s="205">
        <v>0</v>
      </c>
    </row>
    <row r="256" spans="1:11" x14ac:dyDescent="0.25">
      <c r="A256" s="227">
        <v>255</v>
      </c>
      <c r="B256" s="207" t="s">
        <v>163</v>
      </c>
      <c r="C256" s="207" t="s">
        <v>681</v>
      </c>
      <c r="D256" s="207" t="s">
        <v>592</v>
      </c>
      <c r="E256" s="208" t="b">
        <v>0</v>
      </c>
      <c r="F256" s="206" t="s">
        <v>874</v>
      </c>
      <c r="G256" s="205" t="s">
        <v>1012</v>
      </c>
      <c r="H256" s="205">
        <v>1</v>
      </c>
      <c r="I256" s="205">
        <v>50</v>
      </c>
      <c r="J256" s="205">
        <v>0</v>
      </c>
      <c r="K256" s="205">
        <v>0</v>
      </c>
    </row>
    <row r="257" spans="1:11" x14ac:dyDescent="0.25">
      <c r="A257" s="227">
        <v>256</v>
      </c>
      <c r="B257" s="207" t="s">
        <v>163</v>
      </c>
      <c r="C257" s="207" t="s">
        <v>681</v>
      </c>
      <c r="D257" s="207" t="s">
        <v>593</v>
      </c>
      <c r="E257" s="208" t="b">
        <v>0</v>
      </c>
      <c r="F257" s="206" t="s">
        <v>874</v>
      </c>
      <c r="G257" s="205" t="s">
        <v>1012</v>
      </c>
      <c r="H257" s="205">
        <v>1</v>
      </c>
      <c r="I257" s="205">
        <v>50</v>
      </c>
      <c r="J257" s="205">
        <v>0</v>
      </c>
      <c r="K257" s="205">
        <v>0</v>
      </c>
    </row>
    <row r="258" spans="1:11" x14ac:dyDescent="0.25">
      <c r="A258" s="227">
        <v>257</v>
      </c>
      <c r="B258" s="207" t="s">
        <v>163</v>
      </c>
      <c r="C258" s="207" t="s">
        <v>681</v>
      </c>
      <c r="D258" s="207" t="s">
        <v>594</v>
      </c>
      <c r="E258" s="208" t="b">
        <v>0</v>
      </c>
      <c r="F258" s="206" t="s">
        <v>874</v>
      </c>
      <c r="G258" s="205" t="s">
        <v>1012</v>
      </c>
      <c r="H258" s="205">
        <v>1</v>
      </c>
      <c r="I258" s="205">
        <v>50</v>
      </c>
      <c r="J258" s="205">
        <v>0</v>
      </c>
      <c r="K258" s="205">
        <v>0</v>
      </c>
    </row>
    <row r="259" spans="1:11" x14ac:dyDescent="0.25">
      <c r="A259" s="227">
        <v>258</v>
      </c>
      <c r="B259" s="207" t="s">
        <v>163</v>
      </c>
      <c r="C259" s="207" t="s">
        <v>681</v>
      </c>
      <c r="D259" s="207" t="s">
        <v>595</v>
      </c>
      <c r="E259" s="244" t="str">
        <f>IF(wd_5exud="","Null", wd_5exud)</f>
        <v>Null</v>
      </c>
      <c r="F259" s="206" t="s">
        <v>874</v>
      </c>
      <c r="G259" s="205" t="s">
        <v>1012</v>
      </c>
      <c r="H259" s="205">
        <v>1</v>
      </c>
      <c r="I259" s="205">
        <v>50</v>
      </c>
      <c r="J259" s="205">
        <v>0</v>
      </c>
      <c r="K259" s="205">
        <v>0</v>
      </c>
    </row>
    <row r="260" spans="1:11" x14ac:dyDescent="0.25">
      <c r="A260" s="227">
        <v>259</v>
      </c>
      <c r="B260" s="207" t="s">
        <v>163</v>
      </c>
      <c r="C260" s="207" t="s">
        <v>682</v>
      </c>
      <c r="D260" s="207" t="s">
        <v>596</v>
      </c>
      <c r="E260" s="222" t="str">
        <f>IF(Wnd6Cat="","Null", Wnd6Cat)</f>
        <v>Null</v>
      </c>
      <c r="F260" s="206" t="s">
        <v>870</v>
      </c>
      <c r="G260" s="205" t="s">
        <v>1012</v>
      </c>
      <c r="H260" s="205">
        <v>1</v>
      </c>
      <c r="I260" s="205">
        <v>500</v>
      </c>
      <c r="J260" s="205">
        <v>0</v>
      </c>
      <c r="K260" s="205">
        <v>0</v>
      </c>
    </row>
    <row r="261" spans="1:11" x14ac:dyDescent="0.25">
      <c r="A261" s="227">
        <v>260</v>
      </c>
      <c r="B261" s="207" t="s">
        <v>163</v>
      </c>
      <c r="C261" s="207" t="s">
        <v>682</v>
      </c>
      <c r="D261" s="207" t="s">
        <v>597</v>
      </c>
      <c r="E261" s="222" t="str">
        <f>IF(wd_6loc="","Null", wd_6loc)</f>
        <v>Null</v>
      </c>
      <c r="F261" s="206" t="s">
        <v>871</v>
      </c>
      <c r="G261" s="205" t="s">
        <v>1012</v>
      </c>
      <c r="H261" s="205">
        <v>1</v>
      </c>
      <c r="I261" s="205">
        <v>50</v>
      </c>
      <c r="J261" s="205">
        <v>0</v>
      </c>
      <c r="K261" s="205">
        <v>0</v>
      </c>
    </row>
    <row r="262" spans="1:11" x14ac:dyDescent="0.25">
      <c r="A262" s="227">
        <v>261</v>
      </c>
      <c r="B262" s="207" t="s">
        <v>163</v>
      </c>
      <c r="C262" s="207" t="s">
        <v>682</v>
      </c>
      <c r="D262" s="207" t="s">
        <v>598</v>
      </c>
      <c r="E262" s="222" t="str">
        <f>IF(wd_6type="","Null", wd_6type)</f>
        <v>Null</v>
      </c>
      <c r="F262" s="206" t="s">
        <v>872</v>
      </c>
      <c r="G262" s="205" t="s">
        <v>1012</v>
      </c>
      <c r="H262" s="205">
        <v>1</v>
      </c>
      <c r="I262" s="205">
        <v>500</v>
      </c>
      <c r="J262" s="205">
        <v>0</v>
      </c>
      <c r="K262" s="205">
        <v>0</v>
      </c>
    </row>
    <row r="263" spans="1:11" x14ac:dyDescent="0.25">
      <c r="A263" s="227">
        <v>262</v>
      </c>
      <c r="B263" s="207" t="s">
        <v>163</v>
      </c>
      <c r="C263" s="207" t="s">
        <v>682</v>
      </c>
      <c r="D263" s="207" t="s">
        <v>599</v>
      </c>
      <c r="E263" s="222" t="str">
        <f>IF(wd_6tysub="","Null", wd_6tysub)</f>
        <v>Null</v>
      </c>
      <c r="F263" s="206" t="s">
        <v>873</v>
      </c>
      <c r="G263" s="205" t="s">
        <v>1012</v>
      </c>
      <c r="H263" s="205">
        <v>1</v>
      </c>
      <c r="I263" s="205">
        <v>500</v>
      </c>
      <c r="J263" s="205">
        <v>0</v>
      </c>
      <c r="K263" s="205">
        <v>0</v>
      </c>
    </row>
    <row r="264" spans="1:11" x14ac:dyDescent="0.25">
      <c r="A264" s="227">
        <v>263</v>
      </c>
      <c r="B264" s="207" t="s">
        <v>163</v>
      </c>
      <c r="C264" s="207" t="s">
        <v>682</v>
      </c>
      <c r="D264" s="207" t="s">
        <v>600</v>
      </c>
      <c r="E264" s="222" t="str">
        <f>IF(wd_6chronic="","Null", wd_6chronic)</f>
        <v>Null</v>
      </c>
      <c r="F264" s="206" t="s">
        <v>874</v>
      </c>
      <c r="G264" s="205" t="s">
        <v>1012</v>
      </c>
      <c r="H264" s="205">
        <v>1</v>
      </c>
      <c r="I264" s="205">
        <v>50</v>
      </c>
      <c r="J264" s="205">
        <v>0</v>
      </c>
      <c r="K264" s="205">
        <v>0</v>
      </c>
    </row>
    <row r="265" spans="1:11" x14ac:dyDescent="0.25">
      <c r="A265" s="227">
        <v>264</v>
      </c>
      <c r="B265" s="207" t="s">
        <v>163</v>
      </c>
      <c r="C265" s="207" t="s">
        <v>682</v>
      </c>
      <c r="D265" s="207" t="s">
        <v>601</v>
      </c>
      <c r="E265" s="208" t="b">
        <v>0</v>
      </c>
      <c r="F265" s="206" t="s">
        <v>874</v>
      </c>
      <c r="G265" s="205" t="s">
        <v>1012</v>
      </c>
      <c r="H265" s="205">
        <v>1</v>
      </c>
      <c r="I265" s="205">
        <v>50</v>
      </c>
      <c r="J265" s="205">
        <v>0</v>
      </c>
      <c r="K265" s="205">
        <v>0</v>
      </c>
    </row>
    <row r="266" spans="1:11" x14ac:dyDescent="0.25">
      <c r="A266" s="227">
        <v>265</v>
      </c>
      <c r="B266" s="207" t="s">
        <v>163</v>
      </c>
      <c r="C266" s="207" t="s">
        <v>682</v>
      </c>
      <c r="D266" s="207" t="s">
        <v>602</v>
      </c>
      <c r="E266" s="222" t="str">
        <f>IF(wd_6moist="","Null", wd_6moist)</f>
        <v>Null</v>
      </c>
      <c r="F266" s="206" t="s">
        <v>874</v>
      </c>
      <c r="G266" s="205" t="s">
        <v>1012</v>
      </c>
      <c r="H266" s="205">
        <v>1</v>
      </c>
      <c r="I266" s="205">
        <v>50</v>
      </c>
      <c r="J266" s="205">
        <v>0</v>
      </c>
      <c r="K266" s="205">
        <v>0</v>
      </c>
    </row>
    <row r="267" spans="1:11" x14ac:dyDescent="0.25">
      <c r="A267" s="227">
        <v>266</v>
      </c>
      <c r="B267" s="207" t="s">
        <v>163</v>
      </c>
      <c r="C267" s="207" t="s">
        <v>682</v>
      </c>
      <c r="D267" s="207" t="s">
        <v>603</v>
      </c>
      <c r="E267" s="222" t="str">
        <f>IF(wd_6edge="","Null", wd_6edge)</f>
        <v>Null</v>
      </c>
      <c r="F267" s="206" t="s">
        <v>874</v>
      </c>
      <c r="G267" s="205" t="s">
        <v>1012</v>
      </c>
      <c r="H267" s="205">
        <v>1</v>
      </c>
      <c r="I267" s="205">
        <v>50</v>
      </c>
      <c r="J267" s="205">
        <v>0</v>
      </c>
      <c r="K267" s="205">
        <v>0</v>
      </c>
    </row>
    <row r="268" spans="1:11" x14ac:dyDescent="0.25">
      <c r="A268" s="227">
        <v>267</v>
      </c>
      <c r="B268" s="207" t="s">
        <v>163</v>
      </c>
      <c r="C268" s="207" t="s">
        <v>682</v>
      </c>
      <c r="D268" s="207" t="s">
        <v>604</v>
      </c>
      <c r="E268" s="222" t="str">
        <f>IF(wd_6len="","Null", wd_6len)</f>
        <v>Null</v>
      </c>
      <c r="F268" s="206" t="s">
        <v>874</v>
      </c>
      <c r="G268" s="205" t="s">
        <v>1012</v>
      </c>
      <c r="H268" s="205">
        <v>1</v>
      </c>
      <c r="I268" s="205">
        <v>50</v>
      </c>
      <c r="J268" s="205">
        <v>0</v>
      </c>
      <c r="K268" s="205">
        <v>0</v>
      </c>
    </row>
    <row r="269" spans="1:11" x14ac:dyDescent="0.25">
      <c r="A269" s="227">
        <v>268</v>
      </c>
      <c r="B269" s="207" t="s">
        <v>163</v>
      </c>
      <c r="C269" s="207" t="s">
        <v>682</v>
      </c>
      <c r="D269" s="207" t="s">
        <v>605</v>
      </c>
      <c r="E269" s="222" t="str">
        <f>IF(wd_6wid="","Null", wd_6wid)</f>
        <v>Null</v>
      </c>
      <c r="F269" s="206" t="s">
        <v>874</v>
      </c>
      <c r="G269" s="205" t="s">
        <v>1012</v>
      </c>
      <c r="H269" s="205">
        <v>1</v>
      </c>
      <c r="I269" s="205">
        <v>50</v>
      </c>
      <c r="J269" s="205">
        <v>0</v>
      </c>
      <c r="K269" s="205">
        <v>0</v>
      </c>
    </row>
    <row r="270" spans="1:11" x14ac:dyDescent="0.25">
      <c r="A270" s="227">
        <v>269</v>
      </c>
      <c r="B270" s="207" t="s">
        <v>163</v>
      </c>
      <c r="C270" s="207" t="s">
        <v>682</v>
      </c>
      <c r="D270" s="207" t="s">
        <v>606</v>
      </c>
      <c r="E270" s="222" t="str">
        <f>IF(wd_6dep="","Null", wd_6dep)</f>
        <v>Null</v>
      </c>
      <c r="F270" s="206" t="s">
        <v>874</v>
      </c>
      <c r="G270" s="205" t="s">
        <v>1012</v>
      </c>
      <c r="H270" s="205">
        <v>1</v>
      </c>
      <c r="I270" s="205">
        <v>50</v>
      </c>
      <c r="J270" s="205">
        <v>0</v>
      </c>
      <c r="K270" s="205">
        <v>0</v>
      </c>
    </row>
    <row r="271" spans="1:11" x14ac:dyDescent="0.25">
      <c r="A271" s="227">
        <v>270</v>
      </c>
      <c r="B271" s="207" t="s">
        <v>163</v>
      </c>
      <c r="C271" s="207" t="s">
        <v>682</v>
      </c>
      <c r="D271" s="207" t="s">
        <v>607</v>
      </c>
      <c r="E271" s="222" t="str">
        <f>IF(wnd_6tunl="","Null", wnd_6tunl)</f>
        <v>Null</v>
      </c>
      <c r="F271" s="206" t="s">
        <v>874</v>
      </c>
      <c r="G271" s="205" t="s">
        <v>1012</v>
      </c>
      <c r="H271" s="205">
        <v>1</v>
      </c>
      <c r="I271" s="205">
        <v>50</v>
      </c>
      <c r="J271" s="205">
        <v>0</v>
      </c>
      <c r="K271" s="205">
        <v>0</v>
      </c>
    </row>
    <row r="272" spans="1:11" x14ac:dyDescent="0.25">
      <c r="A272" s="227">
        <v>271</v>
      </c>
      <c r="B272" s="207" t="s">
        <v>163</v>
      </c>
      <c r="C272" s="207" t="s">
        <v>682</v>
      </c>
      <c r="D272" s="207" t="s">
        <v>608</v>
      </c>
      <c r="E272" s="222" t="str">
        <f>IF(wnd_6undm="","Null", wnd_6undm)</f>
        <v>Null</v>
      </c>
      <c r="F272" s="206" t="s">
        <v>874</v>
      </c>
      <c r="G272" s="205" t="s">
        <v>1012</v>
      </c>
      <c r="H272" s="205">
        <v>1</v>
      </c>
      <c r="I272" s="205">
        <v>50</v>
      </c>
      <c r="J272" s="205">
        <v>0</v>
      </c>
      <c r="K272" s="205">
        <v>0</v>
      </c>
    </row>
    <row r="273" spans="1:11" x14ac:dyDescent="0.25">
      <c r="A273" s="227">
        <v>272</v>
      </c>
      <c r="B273" s="207" t="s">
        <v>163</v>
      </c>
      <c r="C273" s="207" t="s">
        <v>682</v>
      </c>
      <c r="D273" s="207" t="s">
        <v>609</v>
      </c>
      <c r="E273" s="244" t="str">
        <f>IF(wnd_6debr="","Null", wnd_6debr)</f>
        <v>Null</v>
      </c>
      <c r="F273" s="206" t="s">
        <v>874</v>
      </c>
      <c r="G273" s="205" t="s">
        <v>1010</v>
      </c>
      <c r="H273" s="205">
        <v>1</v>
      </c>
      <c r="I273" s="205">
        <v>10</v>
      </c>
      <c r="J273" s="205">
        <v>0</v>
      </c>
      <c r="K273" s="205">
        <v>0</v>
      </c>
    </row>
    <row r="274" spans="1:11" x14ac:dyDescent="0.25">
      <c r="A274" s="227">
        <v>273</v>
      </c>
      <c r="B274" s="207" t="s">
        <v>163</v>
      </c>
      <c r="C274" s="207" t="s">
        <v>682</v>
      </c>
      <c r="D274" s="207" t="s">
        <v>610</v>
      </c>
      <c r="E274" s="208" t="b">
        <v>0</v>
      </c>
      <c r="F274" s="206" t="s">
        <v>874</v>
      </c>
      <c r="G274" s="205" t="s">
        <v>1012</v>
      </c>
      <c r="H274" s="205">
        <v>1</v>
      </c>
      <c r="I274" s="205">
        <v>50</v>
      </c>
      <c r="J274" s="205">
        <v>0</v>
      </c>
      <c r="K274" s="205">
        <v>0</v>
      </c>
    </row>
    <row r="275" spans="1:11" x14ac:dyDescent="0.25">
      <c r="A275" s="227">
        <v>274</v>
      </c>
      <c r="B275" s="207" t="s">
        <v>163</v>
      </c>
      <c r="C275" s="207" t="s">
        <v>682</v>
      </c>
      <c r="D275" s="207" t="s">
        <v>611</v>
      </c>
      <c r="E275" s="208" t="b">
        <v>0</v>
      </c>
      <c r="F275" s="206" t="s">
        <v>874</v>
      </c>
      <c r="G275" s="205" t="s">
        <v>1012</v>
      </c>
      <c r="H275" s="205">
        <v>1</v>
      </c>
      <c r="I275" s="205">
        <v>50</v>
      </c>
      <c r="J275" s="205">
        <v>0</v>
      </c>
      <c r="K275" s="205">
        <v>0</v>
      </c>
    </row>
    <row r="276" spans="1:11" x14ac:dyDescent="0.25">
      <c r="A276" s="227">
        <v>275</v>
      </c>
      <c r="B276" s="207" t="s">
        <v>163</v>
      </c>
      <c r="C276" s="207" t="s">
        <v>682</v>
      </c>
      <c r="D276" s="207" t="s">
        <v>612</v>
      </c>
      <c r="E276" s="208" t="b">
        <v>0</v>
      </c>
      <c r="F276" s="206" t="s">
        <v>874</v>
      </c>
      <c r="G276" s="205" t="s">
        <v>1012</v>
      </c>
      <c r="H276" s="205">
        <v>1</v>
      </c>
      <c r="I276" s="205">
        <v>50</v>
      </c>
      <c r="J276" s="205">
        <v>0</v>
      </c>
      <c r="K276" s="205">
        <v>0</v>
      </c>
    </row>
    <row r="277" spans="1:11" x14ac:dyDescent="0.25">
      <c r="A277" s="227">
        <v>276</v>
      </c>
      <c r="B277" s="207" t="s">
        <v>163</v>
      </c>
      <c r="C277" s="207" t="s">
        <v>682</v>
      </c>
      <c r="D277" s="207" t="s">
        <v>613</v>
      </c>
      <c r="E277" s="208" t="b">
        <v>0</v>
      </c>
      <c r="F277" s="206" t="s">
        <v>874</v>
      </c>
      <c r="G277" s="205" t="s">
        <v>1012</v>
      </c>
      <c r="H277" s="205">
        <v>1</v>
      </c>
      <c r="I277" s="205">
        <v>50</v>
      </c>
      <c r="J277" s="205">
        <v>0</v>
      </c>
      <c r="K277" s="205">
        <v>0</v>
      </c>
    </row>
    <row r="278" spans="1:11" x14ac:dyDescent="0.25">
      <c r="A278" s="227">
        <v>277</v>
      </c>
      <c r="B278" s="207" t="s">
        <v>163</v>
      </c>
      <c r="C278" s="207" t="s">
        <v>682</v>
      </c>
      <c r="D278" s="207" t="s">
        <v>614</v>
      </c>
      <c r="E278" s="208" t="b">
        <v>0</v>
      </c>
      <c r="F278" s="206" t="s">
        <v>874</v>
      </c>
      <c r="G278" s="205" t="s">
        <v>1012</v>
      </c>
      <c r="H278" s="205">
        <v>1</v>
      </c>
      <c r="I278" s="205">
        <v>50</v>
      </c>
      <c r="J278" s="205">
        <v>0</v>
      </c>
      <c r="K278" s="205">
        <v>0</v>
      </c>
    </row>
    <row r="279" spans="1:11" x14ac:dyDescent="0.25">
      <c r="A279" s="227">
        <v>278</v>
      </c>
      <c r="B279" s="207" t="s">
        <v>163</v>
      </c>
      <c r="C279" s="207" t="s">
        <v>682</v>
      </c>
      <c r="D279" s="207" t="s">
        <v>615</v>
      </c>
      <c r="E279" s="208" t="b">
        <v>0</v>
      </c>
      <c r="F279" s="206" t="s">
        <v>874</v>
      </c>
      <c r="G279" s="205" t="s">
        <v>1012</v>
      </c>
      <c r="H279" s="205">
        <v>1</v>
      </c>
      <c r="I279" s="205">
        <v>50</v>
      </c>
      <c r="J279" s="205">
        <v>0</v>
      </c>
      <c r="K279" s="205">
        <v>0</v>
      </c>
    </row>
    <row r="280" spans="1:11" x14ac:dyDescent="0.25">
      <c r="A280" s="227">
        <v>279</v>
      </c>
      <c r="B280" s="207" t="s">
        <v>163</v>
      </c>
      <c r="C280" s="207" t="s">
        <v>682</v>
      </c>
      <c r="D280" s="207" t="s">
        <v>616</v>
      </c>
      <c r="E280" s="244" t="str">
        <f>IF(wd_6exud="","Null", wd_6exud)</f>
        <v>Null</v>
      </c>
      <c r="F280" s="206" t="s">
        <v>874</v>
      </c>
      <c r="G280" s="205" t="s">
        <v>1012</v>
      </c>
      <c r="H280" s="205">
        <v>1</v>
      </c>
      <c r="I280" s="205">
        <v>50</v>
      </c>
      <c r="J280" s="205">
        <v>0</v>
      </c>
      <c r="K280" s="205">
        <v>0</v>
      </c>
    </row>
    <row r="281" spans="1:11" x14ac:dyDescent="0.25">
      <c r="A281" s="227">
        <v>280</v>
      </c>
      <c r="B281" s="207" t="s">
        <v>163</v>
      </c>
      <c r="C281" s="207" t="s">
        <v>683</v>
      </c>
      <c r="D281" s="207" t="s">
        <v>617</v>
      </c>
      <c r="E281" s="222" t="str">
        <f>IF(Wnd7Cat="","Null", Wnd7Cat)</f>
        <v>Null</v>
      </c>
      <c r="F281" s="206" t="s">
        <v>870</v>
      </c>
      <c r="G281" s="205" t="s">
        <v>1012</v>
      </c>
      <c r="H281" s="205">
        <v>1</v>
      </c>
      <c r="I281" s="205">
        <v>500</v>
      </c>
      <c r="J281" s="205">
        <v>0</v>
      </c>
      <c r="K281" s="205">
        <v>0</v>
      </c>
    </row>
    <row r="282" spans="1:11" x14ac:dyDescent="0.25">
      <c r="A282" s="227">
        <v>281</v>
      </c>
      <c r="B282" s="207" t="s">
        <v>163</v>
      </c>
      <c r="C282" s="207" t="s">
        <v>683</v>
      </c>
      <c r="D282" s="207" t="s">
        <v>618</v>
      </c>
      <c r="E282" s="222" t="str">
        <f>IF(wd_7loc="","Null", wd_7loc)</f>
        <v>Null</v>
      </c>
      <c r="F282" s="206" t="s">
        <v>871</v>
      </c>
      <c r="G282" s="205" t="s">
        <v>1012</v>
      </c>
      <c r="H282" s="205">
        <v>1</v>
      </c>
      <c r="I282" s="205">
        <v>50</v>
      </c>
      <c r="J282" s="205">
        <v>0</v>
      </c>
      <c r="K282" s="205">
        <v>0</v>
      </c>
    </row>
    <row r="283" spans="1:11" x14ac:dyDescent="0.25">
      <c r="A283" s="227">
        <v>282</v>
      </c>
      <c r="B283" s="207" t="s">
        <v>163</v>
      </c>
      <c r="C283" s="207" t="s">
        <v>683</v>
      </c>
      <c r="D283" s="207" t="s">
        <v>914</v>
      </c>
      <c r="E283" s="222" t="str">
        <f>IF(wd_7type="","Null", wd_7type)</f>
        <v>Null</v>
      </c>
      <c r="F283" s="206" t="s">
        <v>872</v>
      </c>
      <c r="G283" s="205" t="s">
        <v>1012</v>
      </c>
      <c r="H283" s="205">
        <v>1</v>
      </c>
      <c r="I283" s="205">
        <v>500</v>
      </c>
      <c r="J283" s="205">
        <v>0</v>
      </c>
      <c r="K283" s="205">
        <v>0</v>
      </c>
    </row>
    <row r="284" spans="1:11" x14ac:dyDescent="0.25">
      <c r="A284" s="227">
        <v>283</v>
      </c>
      <c r="B284" s="207" t="s">
        <v>163</v>
      </c>
      <c r="C284" s="207" t="s">
        <v>683</v>
      </c>
      <c r="D284" s="207" t="s">
        <v>619</v>
      </c>
      <c r="E284" s="222" t="str">
        <f>IF(wd_7tysub="","Null", wd_7tysub)</f>
        <v>Null</v>
      </c>
      <c r="F284" s="206" t="s">
        <v>873</v>
      </c>
      <c r="G284" s="205" t="s">
        <v>1012</v>
      </c>
      <c r="H284" s="205">
        <v>1</v>
      </c>
      <c r="I284" s="205">
        <v>500</v>
      </c>
      <c r="J284" s="205">
        <v>0</v>
      </c>
      <c r="K284" s="205">
        <v>0</v>
      </c>
    </row>
    <row r="285" spans="1:11" x14ac:dyDescent="0.25">
      <c r="A285" s="227">
        <v>284</v>
      </c>
      <c r="B285" s="207" t="s">
        <v>163</v>
      </c>
      <c r="C285" s="207" t="s">
        <v>683</v>
      </c>
      <c r="D285" s="207" t="s">
        <v>620</v>
      </c>
      <c r="E285" s="222" t="str">
        <f>IF(wd_7chronic="","Null", wd_7chronic)</f>
        <v>Null</v>
      </c>
      <c r="F285" s="206" t="s">
        <v>874</v>
      </c>
      <c r="G285" s="205" t="s">
        <v>1012</v>
      </c>
      <c r="H285" s="205">
        <v>1</v>
      </c>
      <c r="I285" s="205">
        <v>50</v>
      </c>
      <c r="J285" s="205">
        <v>0</v>
      </c>
      <c r="K285" s="205">
        <v>0</v>
      </c>
    </row>
    <row r="286" spans="1:11" x14ac:dyDescent="0.25">
      <c r="A286" s="227">
        <v>285</v>
      </c>
      <c r="B286" s="207" t="s">
        <v>163</v>
      </c>
      <c r="C286" s="207" t="s">
        <v>683</v>
      </c>
      <c r="D286" s="207" t="s">
        <v>621</v>
      </c>
      <c r="E286" s="208" t="b">
        <v>0</v>
      </c>
      <c r="F286" s="206" t="s">
        <v>874</v>
      </c>
      <c r="G286" s="205" t="s">
        <v>1012</v>
      </c>
      <c r="H286" s="205">
        <v>1</v>
      </c>
      <c r="I286" s="205">
        <v>50</v>
      </c>
      <c r="J286" s="205">
        <v>0</v>
      </c>
      <c r="K286" s="205">
        <v>0</v>
      </c>
    </row>
    <row r="287" spans="1:11" x14ac:dyDescent="0.25">
      <c r="A287" s="227">
        <v>286</v>
      </c>
      <c r="B287" s="207" t="s">
        <v>163</v>
      </c>
      <c r="C287" s="207" t="s">
        <v>683</v>
      </c>
      <c r="D287" s="207" t="s">
        <v>622</v>
      </c>
      <c r="E287" s="222" t="str">
        <f>IF(wd_7moist="","Null", wd_7moist)</f>
        <v>Null</v>
      </c>
      <c r="F287" s="206" t="s">
        <v>874</v>
      </c>
      <c r="G287" s="205" t="s">
        <v>1012</v>
      </c>
      <c r="H287" s="205">
        <v>1</v>
      </c>
      <c r="I287" s="205">
        <v>50</v>
      </c>
      <c r="J287" s="205">
        <v>0</v>
      </c>
      <c r="K287" s="205">
        <v>0</v>
      </c>
    </row>
    <row r="288" spans="1:11" x14ac:dyDescent="0.25">
      <c r="A288" s="227">
        <v>287</v>
      </c>
      <c r="B288" s="207" t="s">
        <v>163</v>
      </c>
      <c r="C288" s="207" t="s">
        <v>683</v>
      </c>
      <c r="D288" s="207" t="s">
        <v>623</v>
      </c>
      <c r="E288" s="222" t="str">
        <f>IF(wd_7edge="","Null", wd_7edge)</f>
        <v>Null</v>
      </c>
      <c r="F288" s="206" t="s">
        <v>874</v>
      </c>
      <c r="G288" s="205" t="s">
        <v>1012</v>
      </c>
      <c r="H288" s="205">
        <v>1</v>
      </c>
      <c r="I288" s="205">
        <v>50</v>
      </c>
      <c r="J288" s="205">
        <v>0</v>
      </c>
      <c r="K288" s="205">
        <v>0</v>
      </c>
    </row>
    <row r="289" spans="1:11" x14ac:dyDescent="0.25">
      <c r="A289" s="227">
        <v>288</v>
      </c>
      <c r="B289" s="207" t="s">
        <v>163</v>
      </c>
      <c r="C289" s="207" t="s">
        <v>683</v>
      </c>
      <c r="D289" s="207" t="s">
        <v>624</v>
      </c>
      <c r="E289" s="222" t="str">
        <f>IF(wd_7len="","Null", wd_7len)</f>
        <v>Null</v>
      </c>
      <c r="F289" s="206" t="s">
        <v>874</v>
      </c>
      <c r="G289" s="205" t="s">
        <v>1012</v>
      </c>
      <c r="H289" s="205">
        <v>1</v>
      </c>
      <c r="I289" s="205">
        <v>50</v>
      </c>
      <c r="J289" s="205">
        <v>0</v>
      </c>
      <c r="K289" s="205">
        <v>0</v>
      </c>
    </row>
    <row r="290" spans="1:11" x14ac:dyDescent="0.25">
      <c r="A290" s="227">
        <v>289</v>
      </c>
      <c r="B290" s="207" t="s">
        <v>163</v>
      </c>
      <c r="C290" s="207" t="s">
        <v>683</v>
      </c>
      <c r="D290" s="207" t="s">
        <v>625</v>
      </c>
      <c r="E290" s="222" t="str">
        <f>IF(wd_7wid="","Null", wd_7wid)</f>
        <v>Null</v>
      </c>
      <c r="F290" s="206" t="s">
        <v>874</v>
      </c>
      <c r="G290" s="205" t="s">
        <v>1012</v>
      </c>
      <c r="H290" s="205">
        <v>1</v>
      </c>
      <c r="I290" s="205">
        <v>50</v>
      </c>
      <c r="J290" s="205">
        <v>0</v>
      </c>
      <c r="K290" s="205">
        <v>0</v>
      </c>
    </row>
    <row r="291" spans="1:11" x14ac:dyDescent="0.25">
      <c r="A291" s="227">
        <v>290</v>
      </c>
      <c r="B291" s="207" t="s">
        <v>163</v>
      </c>
      <c r="C291" s="207" t="s">
        <v>683</v>
      </c>
      <c r="D291" s="207" t="s">
        <v>626</v>
      </c>
      <c r="E291" s="222" t="str">
        <f>IF(wd_7dep="","Null", wd_7dep)</f>
        <v>Null</v>
      </c>
      <c r="F291" s="206" t="s">
        <v>874</v>
      </c>
      <c r="G291" s="205" t="s">
        <v>1012</v>
      </c>
      <c r="H291" s="205">
        <v>1</v>
      </c>
      <c r="I291" s="205">
        <v>50</v>
      </c>
      <c r="J291" s="205">
        <v>0</v>
      </c>
      <c r="K291" s="205">
        <v>0</v>
      </c>
    </row>
    <row r="292" spans="1:11" x14ac:dyDescent="0.25">
      <c r="A292" s="227">
        <v>291</v>
      </c>
      <c r="B292" s="207" t="s">
        <v>163</v>
      </c>
      <c r="C292" s="207" t="s">
        <v>683</v>
      </c>
      <c r="D292" s="207" t="s">
        <v>627</v>
      </c>
      <c r="E292" s="222" t="str">
        <f>IF(wnd_7tunl="","Null", wnd_7tunl)</f>
        <v>Null</v>
      </c>
      <c r="F292" s="206" t="s">
        <v>874</v>
      </c>
      <c r="G292" s="205" t="s">
        <v>1012</v>
      </c>
      <c r="H292" s="205">
        <v>1</v>
      </c>
      <c r="I292" s="205">
        <v>50</v>
      </c>
      <c r="J292" s="205">
        <v>0</v>
      </c>
      <c r="K292" s="205">
        <v>0</v>
      </c>
    </row>
    <row r="293" spans="1:11" x14ac:dyDescent="0.25">
      <c r="A293" s="227">
        <v>292</v>
      </c>
      <c r="B293" s="207" t="s">
        <v>163</v>
      </c>
      <c r="C293" s="207" t="s">
        <v>683</v>
      </c>
      <c r="D293" s="207" t="s">
        <v>628</v>
      </c>
      <c r="E293" s="222" t="str">
        <f>IF(wnd_7undm="","Null", wnd_7undm)</f>
        <v>Null</v>
      </c>
      <c r="F293" s="206" t="s">
        <v>874</v>
      </c>
      <c r="G293" s="205" t="s">
        <v>1012</v>
      </c>
      <c r="H293" s="205">
        <v>1</v>
      </c>
      <c r="I293" s="205">
        <v>50</v>
      </c>
      <c r="J293" s="205">
        <v>0</v>
      </c>
      <c r="K293" s="205">
        <v>0</v>
      </c>
    </row>
    <row r="294" spans="1:11" x14ac:dyDescent="0.25">
      <c r="A294" s="227">
        <v>293</v>
      </c>
      <c r="B294" s="207" t="s">
        <v>163</v>
      </c>
      <c r="C294" s="207" t="s">
        <v>683</v>
      </c>
      <c r="D294" s="207" t="s">
        <v>629</v>
      </c>
      <c r="E294" s="244" t="str">
        <f>IF(wnd_7debr="","Null", wnd_7debr)</f>
        <v>Null</v>
      </c>
      <c r="F294" s="206" t="s">
        <v>874</v>
      </c>
      <c r="G294" s="205" t="s">
        <v>1010</v>
      </c>
      <c r="H294" s="205">
        <v>1</v>
      </c>
      <c r="I294" s="205">
        <v>10</v>
      </c>
      <c r="J294" s="205">
        <v>0</v>
      </c>
      <c r="K294" s="205">
        <v>0</v>
      </c>
    </row>
    <row r="295" spans="1:11" x14ac:dyDescent="0.25">
      <c r="A295" s="227">
        <v>294</v>
      </c>
      <c r="B295" s="207" t="s">
        <v>163</v>
      </c>
      <c r="C295" s="207" t="s">
        <v>683</v>
      </c>
      <c r="D295" s="207" t="s">
        <v>630</v>
      </c>
      <c r="E295" s="208" t="b">
        <v>0</v>
      </c>
      <c r="F295" s="206" t="s">
        <v>874</v>
      </c>
      <c r="G295" s="205" t="s">
        <v>1012</v>
      </c>
      <c r="H295" s="205">
        <v>1</v>
      </c>
      <c r="I295" s="205">
        <v>50</v>
      </c>
      <c r="J295" s="205">
        <v>0</v>
      </c>
      <c r="K295" s="205">
        <v>0</v>
      </c>
    </row>
    <row r="296" spans="1:11" x14ac:dyDescent="0.25">
      <c r="A296" s="227">
        <v>295</v>
      </c>
      <c r="B296" s="227" t="s">
        <v>163</v>
      </c>
      <c r="C296" s="227" t="s">
        <v>683</v>
      </c>
      <c r="D296" s="207" t="s">
        <v>631</v>
      </c>
      <c r="E296" s="208" t="b">
        <v>0</v>
      </c>
      <c r="F296" s="206" t="s">
        <v>874</v>
      </c>
      <c r="G296" s="205" t="s">
        <v>1012</v>
      </c>
      <c r="H296" s="205">
        <v>1</v>
      </c>
      <c r="I296" s="205">
        <v>50</v>
      </c>
      <c r="J296" s="205">
        <v>0</v>
      </c>
      <c r="K296" s="205">
        <v>0</v>
      </c>
    </row>
    <row r="297" spans="1:11" x14ac:dyDescent="0.25">
      <c r="A297" s="227">
        <v>296</v>
      </c>
      <c r="B297" s="227" t="s">
        <v>163</v>
      </c>
      <c r="C297" s="227" t="s">
        <v>683</v>
      </c>
      <c r="D297" s="227" t="s">
        <v>632</v>
      </c>
      <c r="E297" s="208" t="b">
        <v>0</v>
      </c>
      <c r="F297" s="206" t="s">
        <v>874</v>
      </c>
      <c r="G297" s="205" t="s">
        <v>1012</v>
      </c>
      <c r="H297" s="205">
        <v>1</v>
      </c>
      <c r="I297" s="205">
        <v>50</v>
      </c>
      <c r="J297" s="205">
        <v>0</v>
      </c>
      <c r="K297" s="205">
        <v>0</v>
      </c>
    </row>
    <row r="298" spans="1:11" x14ac:dyDescent="0.25">
      <c r="A298" s="227">
        <v>297</v>
      </c>
      <c r="B298" s="227" t="s">
        <v>163</v>
      </c>
      <c r="C298" s="227" t="s">
        <v>683</v>
      </c>
      <c r="D298" s="227" t="s">
        <v>633</v>
      </c>
      <c r="E298" s="208" t="b">
        <v>0</v>
      </c>
      <c r="F298" s="206" t="s">
        <v>874</v>
      </c>
      <c r="G298" s="205" t="s">
        <v>1012</v>
      </c>
      <c r="H298" s="205">
        <v>1</v>
      </c>
      <c r="I298" s="205">
        <v>50</v>
      </c>
      <c r="J298" s="205">
        <v>0</v>
      </c>
      <c r="K298" s="205">
        <v>0</v>
      </c>
    </row>
    <row r="299" spans="1:11" x14ac:dyDescent="0.25">
      <c r="A299" s="227">
        <v>298</v>
      </c>
      <c r="B299" s="227" t="s">
        <v>163</v>
      </c>
      <c r="C299" s="207" t="s">
        <v>683</v>
      </c>
      <c r="D299" s="207" t="s">
        <v>634</v>
      </c>
      <c r="E299" s="208" t="b">
        <v>0</v>
      </c>
      <c r="F299" s="206" t="s">
        <v>874</v>
      </c>
      <c r="G299" s="205" t="s">
        <v>1012</v>
      </c>
      <c r="H299" s="205">
        <v>1</v>
      </c>
      <c r="I299" s="205">
        <v>50</v>
      </c>
      <c r="J299" s="205">
        <v>0</v>
      </c>
      <c r="K299" s="205">
        <v>0</v>
      </c>
    </row>
    <row r="300" spans="1:11" x14ac:dyDescent="0.25">
      <c r="A300" s="227">
        <v>299</v>
      </c>
      <c r="B300" s="227" t="s">
        <v>163</v>
      </c>
      <c r="C300" s="207" t="s">
        <v>683</v>
      </c>
      <c r="D300" s="207" t="s">
        <v>635</v>
      </c>
      <c r="E300" s="208" t="b">
        <v>0</v>
      </c>
      <c r="F300" s="206" t="s">
        <v>874</v>
      </c>
      <c r="G300" s="205" t="s">
        <v>1012</v>
      </c>
      <c r="H300" s="205">
        <v>1</v>
      </c>
      <c r="I300" s="205">
        <v>50</v>
      </c>
      <c r="J300" s="205">
        <v>0</v>
      </c>
      <c r="K300" s="205">
        <v>0</v>
      </c>
    </row>
    <row r="301" spans="1:11" x14ac:dyDescent="0.25">
      <c r="A301" s="227">
        <v>300</v>
      </c>
      <c r="B301" s="227" t="s">
        <v>163</v>
      </c>
      <c r="C301" s="207" t="s">
        <v>683</v>
      </c>
      <c r="D301" s="207" t="s">
        <v>636</v>
      </c>
      <c r="E301" s="244" t="str">
        <f>IF(wd_7exud="","Null", wd_7exud)</f>
        <v>Null</v>
      </c>
      <c r="F301" s="206" t="s">
        <v>874</v>
      </c>
      <c r="G301" s="205" t="s">
        <v>1012</v>
      </c>
      <c r="H301" s="205">
        <v>1</v>
      </c>
      <c r="I301" s="205">
        <v>50</v>
      </c>
      <c r="J301" s="205">
        <v>0</v>
      </c>
      <c r="K301" s="205">
        <v>0</v>
      </c>
    </row>
    <row r="302" spans="1:11" x14ac:dyDescent="0.25">
      <c r="A302" s="227">
        <v>301</v>
      </c>
      <c r="B302" s="227" t="s">
        <v>163</v>
      </c>
      <c r="C302" s="207" t="s">
        <v>684</v>
      </c>
      <c r="D302" s="207" t="s">
        <v>637</v>
      </c>
      <c r="E302" s="222" t="str">
        <f>IF(Wnd8Cat="","Null", Wnd8Cat)</f>
        <v>Null</v>
      </c>
      <c r="F302" s="206" t="s">
        <v>870</v>
      </c>
      <c r="G302" s="205" t="s">
        <v>1012</v>
      </c>
      <c r="H302" s="205">
        <v>1</v>
      </c>
      <c r="I302" s="205">
        <v>500</v>
      </c>
      <c r="J302" s="205">
        <v>0</v>
      </c>
      <c r="K302" s="205">
        <v>0</v>
      </c>
    </row>
    <row r="303" spans="1:11" x14ac:dyDescent="0.25">
      <c r="A303" s="227">
        <v>302</v>
      </c>
      <c r="B303" s="227" t="s">
        <v>163</v>
      </c>
      <c r="C303" s="207" t="s">
        <v>684</v>
      </c>
      <c r="D303" s="207" t="s">
        <v>638</v>
      </c>
      <c r="E303" s="222" t="str">
        <f>IF(wd_8loc="","Null", wd_8loc)</f>
        <v>Null</v>
      </c>
      <c r="F303" s="206" t="s">
        <v>871</v>
      </c>
      <c r="G303" s="205" t="s">
        <v>1012</v>
      </c>
      <c r="H303" s="205">
        <v>1</v>
      </c>
      <c r="I303" s="205">
        <v>50</v>
      </c>
      <c r="J303" s="205">
        <v>0</v>
      </c>
      <c r="K303" s="205">
        <v>0</v>
      </c>
    </row>
    <row r="304" spans="1:11" x14ac:dyDescent="0.25">
      <c r="A304" s="227">
        <v>303</v>
      </c>
      <c r="B304" s="227" t="s">
        <v>163</v>
      </c>
      <c r="C304" s="207" t="s">
        <v>684</v>
      </c>
      <c r="D304" s="207" t="s">
        <v>639</v>
      </c>
      <c r="E304" s="222" t="str">
        <f>IF(wd_8type="","Null", wd_8type)</f>
        <v>Null</v>
      </c>
      <c r="F304" s="206" t="s">
        <v>872</v>
      </c>
      <c r="G304" s="205" t="s">
        <v>1012</v>
      </c>
      <c r="H304" s="205">
        <v>1</v>
      </c>
      <c r="I304" s="205">
        <v>500</v>
      </c>
      <c r="J304" s="205">
        <v>0</v>
      </c>
      <c r="K304" s="205">
        <v>0</v>
      </c>
    </row>
    <row r="305" spans="1:11" x14ac:dyDescent="0.25">
      <c r="A305" s="227">
        <v>304</v>
      </c>
      <c r="B305" s="227" t="s">
        <v>163</v>
      </c>
      <c r="C305" s="207" t="s">
        <v>684</v>
      </c>
      <c r="D305" s="207" t="s">
        <v>640</v>
      </c>
      <c r="E305" s="222" t="str">
        <f>IF(wd_8tysub="","Null", wd_8tysub)</f>
        <v>Null</v>
      </c>
      <c r="F305" s="206" t="s">
        <v>873</v>
      </c>
      <c r="G305" s="205" t="s">
        <v>1012</v>
      </c>
      <c r="H305" s="205">
        <v>1</v>
      </c>
      <c r="I305" s="205">
        <v>500</v>
      </c>
      <c r="J305" s="205">
        <v>0</v>
      </c>
      <c r="K305" s="205">
        <v>0</v>
      </c>
    </row>
    <row r="306" spans="1:11" x14ac:dyDescent="0.25">
      <c r="A306" s="227">
        <v>305</v>
      </c>
      <c r="B306" s="227" t="s">
        <v>163</v>
      </c>
      <c r="C306" s="207" t="s">
        <v>684</v>
      </c>
      <c r="D306" s="207" t="s">
        <v>641</v>
      </c>
      <c r="E306" s="222" t="str">
        <f>IF(wd_8chronic="","Null", wd_8chronic)</f>
        <v>Null</v>
      </c>
      <c r="F306" s="206" t="s">
        <v>874</v>
      </c>
      <c r="G306" s="205" t="s">
        <v>1012</v>
      </c>
      <c r="H306" s="205">
        <v>1</v>
      </c>
      <c r="I306" s="205">
        <v>50</v>
      </c>
      <c r="J306" s="205">
        <v>0</v>
      </c>
      <c r="K306" s="205">
        <v>0</v>
      </c>
    </row>
    <row r="307" spans="1:11" x14ac:dyDescent="0.25">
      <c r="A307" s="227">
        <v>306</v>
      </c>
      <c r="B307" s="227" t="s">
        <v>163</v>
      </c>
      <c r="C307" s="207" t="s">
        <v>684</v>
      </c>
      <c r="D307" s="207" t="s">
        <v>642</v>
      </c>
      <c r="E307" s="208" t="b">
        <v>0</v>
      </c>
      <c r="F307" s="206" t="s">
        <v>874</v>
      </c>
      <c r="G307" s="205" t="s">
        <v>1012</v>
      </c>
      <c r="H307" s="205">
        <v>1</v>
      </c>
      <c r="I307" s="205">
        <v>50</v>
      </c>
      <c r="J307" s="205">
        <v>0</v>
      </c>
      <c r="K307" s="205">
        <v>0</v>
      </c>
    </row>
    <row r="308" spans="1:11" x14ac:dyDescent="0.25">
      <c r="A308" s="227">
        <v>307</v>
      </c>
      <c r="B308" s="227" t="s">
        <v>163</v>
      </c>
      <c r="C308" s="207" t="s">
        <v>684</v>
      </c>
      <c r="D308" s="207" t="s">
        <v>643</v>
      </c>
      <c r="E308" s="222" t="str">
        <f>IF(wd_8moist="","Null", wd_8moist)</f>
        <v>Null</v>
      </c>
      <c r="F308" s="206" t="s">
        <v>874</v>
      </c>
      <c r="G308" s="205" t="s">
        <v>1012</v>
      </c>
      <c r="H308" s="205">
        <v>1</v>
      </c>
      <c r="I308" s="205">
        <v>50</v>
      </c>
      <c r="J308" s="205">
        <v>0</v>
      </c>
      <c r="K308" s="205">
        <v>0</v>
      </c>
    </row>
    <row r="309" spans="1:11" x14ac:dyDescent="0.25">
      <c r="A309" s="227">
        <v>308</v>
      </c>
      <c r="B309" s="227" t="s">
        <v>163</v>
      </c>
      <c r="C309" s="207" t="s">
        <v>684</v>
      </c>
      <c r="D309" s="207" t="s">
        <v>644</v>
      </c>
      <c r="E309" s="222" t="str">
        <f>IF(wd_8edge="","Null", wd_8edge)</f>
        <v>Null</v>
      </c>
      <c r="F309" s="206" t="s">
        <v>874</v>
      </c>
      <c r="G309" s="205" t="s">
        <v>1012</v>
      </c>
      <c r="H309" s="205">
        <v>1</v>
      </c>
      <c r="I309" s="205">
        <v>50</v>
      </c>
      <c r="J309" s="205">
        <v>0</v>
      </c>
      <c r="K309" s="205">
        <v>0</v>
      </c>
    </row>
    <row r="310" spans="1:11" x14ac:dyDescent="0.25">
      <c r="A310" s="227">
        <v>309</v>
      </c>
      <c r="B310" s="227" t="s">
        <v>163</v>
      </c>
      <c r="C310" s="207" t="s">
        <v>684</v>
      </c>
      <c r="D310" s="207" t="s">
        <v>645</v>
      </c>
      <c r="E310" s="222" t="str">
        <f>IF(wd_8len="","Null", wd_8len)</f>
        <v>Null</v>
      </c>
      <c r="F310" s="206" t="s">
        <v>874</v>
      </c>
      <c r="G310" s="205" t="s">
        <v>1012</v>
      </c>
      <c r="H310" s="205">
        <v>1</v>
      </c>
      <c r="I310" s="205">
        <v>50</v>
      </c>
      <c r="J310" s="205">
        <v>0</v>
      </c>
      <c r="K310" s="205">
        <v>0</v>
      </c>
    </row>
    <row r="311" spans="1:11" x14ac:dyDescent="0.25">
      <c r="A311" s="227">
        <v>310</v>
      </c>
      <c r="B311" s="227" t="s">
        <v>163</v>
      </c>
      <c r="C311" s="207" t="s">
        <v>684</v>
      </c>
      <c r="D311" s="207" t="s">
        <v>646</v>
      </c>
      <c r="E311" s="222" t="str">
        <f>IF(wd_8wid="","Null", wd_8wid)</f>
        <v>Null</v>
      </c>
      <c r="F311" s="206" t="s">
        <v>874</v>
      </c>
      <c r="G311" s="205" t="s">
        <v>1012</v>
      </c>
      <c r="H311" s="205">
        <v>1</v>
      </c>
      <c r="I311" s="205">
        <v>50</v>
      </c>
      <c r="J311" s="205">
        <v>0</v>
      </c>
      <c r="K311" s="205">
        <v>0</v>
      </c>
    </row>
    <row r="312" spans="1:11" x14ac:dyDescent="0.25">
      <c r="A312" s="227">
        <v>311</v>
      </c>
      <c r="B312" s="227" t="s">
        <v>163</v>
      </c>
      <c r="C312" s="207" t="s">
        <v>684</v>
      </c>
      <c r="D312" s="207" t="s">
        <v>647</v>
      </c>
      <c r="E312" s="222" t="str">
        <f>IF(wd_8dep="","Null", wd_8dep)</f>
        <v>Null</v>
      </c>
      <c r="F312" s="206" t="s">
        <v>874</v>
      </c>
      <c r="G312" s="205" t="s">
        <v>1012</v>
      </c>
      <c r="H312" s="205">
        <v>1</v>
      </c>
      <c r="I312" s="205">
        <v>50</v>
      </c>
      <c r="J312" s="205">
        <v>0</v>
      </c>
      <c r="K312" s="205">
        <v>0</v>
      </c>
    </row>
    <row r="313" spans="1:11" x14ac:dyDescent="0.25">
      <c r="A313" s="227">
        <v>312</v>
      </c>
      <c r="B313" s="227" t="s">
        <v>163</v>
      </c>
      <c r="C313" s="207" t="s">
        <v>684</v>
      </c>
      <c r="D313" s="207" t="s">
        <v>648</v>
      </c>
      <c r="E313" s="222" t="str">
        <f>IF(wnd_8tunl="","Null", wnd_8tunl)</f>
        <v>Null</v>
      </c>
      <c r="F313" s="206" t="s">
        <v>874</v>
      </c>
      <c r="G313" s="205" t="s">
        <v>1012</v>
      </c>
      <c r="H313" s="205">
        <v>1</v>
      </c>
      <c r="I313" s="205">
        <v>50</v>
      </c>
      <c r="J313" s="205">
        <v>0</v>
      </c>
      <c r="K313" s="205">
        <v>0</v>
      </c>
    </row>
    <row r="314" spans="1:11" x14ac:dyDescent="0.25">
      <c r="A314" s="227">
        <v>313</v>
      </c>
      <c r="B314" s="227" t="s">
        <v>163</v>
      </c>
      <c r="C314" s="207" t="s">
        <v>684</v>
      </c>
      <c r="D314" s="207" t="s">
        <v>649</v>
      </c>
      <c r="E314" s="222" t="str">
        <f>IF(wnd_8undm="","Null", wnd_8undm)</f>
        <v>Null</v>
      </c>
      <c r="F314" s="206" t="s">
        <v>874</v>
      </c>
      <c r="G314" s="205" t="s">
        <v>1012</v>
      </c>
      <c r="H314" s="205">
        <v>1</v>
      </c>
      <c r="I314" s="205">
        <v>50</v>
      </c>
      <c r="J314" s="205">
        <v>0</v>
      </c>
      <c r="K314" s="205">
        <v>0</v>
      </c>
    </row>
    <row r="315" spans="1:11" x14ac:dyDescent="0.25">
      <c r="A315" s="227">
        <v>314</v>
      </c>
      <c r="B315" s="227" t="s">
        <v>163</v>
      </c>
      <c r="C315" s="207" t="s">
        <v>684</v>
      </c>
      <c r="D315" s="207" t="s">
        <v>650</v>
      </c>
      <c r="E315" s="244" t="str">
        <f>IF(wnd_8debr="","Null", wnd_8debr)</f>
        <v>Null</v>
      </c>
      <c r="F315" s="206" t="s">
        <v>874</v>
      </c>
      <c r="G315" s="205" t="s">
        <v>1010</v>
      </c>
      <c r="H315" s="205">
        <v>1</v>
      </c>
      <c r="I315" s="205">
        <v>10</v>
      </c>
      <c r="J315" s="205">
        <v>0</v>
      </c>
      <c r="K315" s="205">
        <v>0</v>
      </c>
    </row>
    <row r="316" spans="1:11" x14ac:dyDescent="0.25">
      <c r="A316" s="227">
        <v>315</v>
      </c>
      <c r="B316" s="227" t="s">
        <v>163</v>
      </c>
      <c r="C316" s="207" t="s">
        <v>684</v>
      </c>
      <c r="D316" s="207" t="s">
        <v>651</v>
      </c>
      <c r="E316" s="208" t="b">
        <v>0</v>
      </c>
      <c r="F316" s="206" t="s">
        <v>874</v>
      </c>
      <c r="G316" s="205" t="s">
        <v>1012</v>
      </c>
      <c r="H316" s="205">
        <v>1</v>
      </c>
      <c r="I316" s="205">
        <v>50</v>
      </c>
      <c r="J316" s="205">
        <v>0</v>
      </c>
      <c r="K316" s="205">
        <v>0</v>
      </c>
    </row>
    <row r="317" spans="1:11" x14ac:dyDescent="0.25">
      <c r="A317" s="227">
        <v>316</v>
      </c>
      <c r="B317" s="227" t="s">
        <v>163</v>
      </c>
      <c r="C317" s="207" t="s">
        <v>684</v>
      </c>
      <c r="D317" s="207" t="s">
        <v>652</v>
      </c>
      <c r="E317" s="208" t="b">
        <v>0</v>
      </c>
      <c r="F317" s="206" t="s">
        <v>874</v>
      </c>
      <c r="G317" s="205" t="s">
        <v>1012</v>
      </c>
      <c r="H317" s="205">
        <v>1</v>
      </c>
      <c r="I317" s="205">
        <v>50</v>
      </c>
      <c r="J317" s="205">
        <v>0</v>
      </c>
      <c r="K317" s="205">
        <v>0</v>
      </c>
    </row>
    <row r="318" spans="1:11" x14ac:dyDescent="0.25">
      <c r="A318" s="227">
        <v>317</v>
      </c>
      <c r="B318" s="227" t="s">
        <v>163</v>
      </c>
      <c r="C318" s="207" t="s">
        <v>684</v>
      </c>
      <c r="D318" s="207" t="s">
        <v>653</v>
      </c>
      <c r="E318" s="208" t="b">
        <v>0</v>
      </c>
      <c r="F318" s="206" t="s">
        <v>874</v>
      </c>
      <c r="G318" s="205" t="s">
        <v>1012</v>
      </c>
      <c r="H318" s="205">
        <v>1</v>
      </c>
      <c r="I318" s="205">
        <v>50</v>
      </c>
      <c r="J318" s="205">
        <v>0</v>
      </c>
      <c r="K318" s="205">
        <v>0</v>
      </c>
    </row>
    <row r="319" spans="1:11" x14ac:dyDescent="0.25">
      <c r="A319" s="227">
        <v>318</v>
      </c>
      <c r="B319" s="227" t="s">
        <v>163</v>
      </c>
      <c r="C319" s="207" t="s">
        <v>684</v>
      </c>
      <c r="D319" s="207" t="s">
        <v>654</v>
      </c>
      <c r="E319" s="208" t="b">
        <v>0</v>
      </c>
      <c r="F319" s="206" t="s">
        <v>874</v>
      </c>
      <c r="G319" s="205" t="s">
        <v>1012</v>
      </c>
      <c r="H319" s="205">
        <v>1</v>
      </c>
      <c r="I319" s="205">
        <v>50</v>
      </c>
      <c r="J319" s="205">
        <v>0</v>
      </c>
      <c r="K319" s="205">
        <v>0</v>
      </c>
    </row>
    <row r="320" spans="1:11" x14ac:dyDescent="0.25">
      <c r="A320" s="227">
        <v>319</v>
      </c>
      <c r="B320" s="227" t="s">
        <v>163</v>
      </c>
      <c r="C320" s="207" t="s">
        <v>684</v>
      </c>
      <c r="D320" s="207" t="s">
        <v>655</v>
      </c>
      <c r="E320" s="208" t="b">
        <v>0</v>
      </c>
      <c r="F320" s="206" t="s">
        <v>874</v>
      </c>
      <c r="G320" s="205" t="s">
        <v>1012</v>
      </c>
      <c r="H320" s="205">
        <v>1</v>
      </c>
      <c r="I320" s="205">
        <v>50</v>
      </c>
      <c r="J320" s="205">
        <v>0</v>
      </c>
      <c r="K320" s="205">
        <v>0</v>
      </c>
    </row>
    <row r="321" spans="1:11" x14ac:dyDescent="0.25">
      <c r="A321" s="227">
        <v>320</v>
      </c>
      <c r="B321" s="227" t="s">
        <v>163</v>
      </c>
      <c r="C321" s="207" t="s">
        <v>684</v>
      </c>
      <c r="D321" s="207" t="s">
        <v>656</v>
      </c>
      <c r="E321" s="208" t="b">
        <v>0</v>
      </c>
      <c r="F321" s="206" t="s">
        <v>874</v>
      </c>
      <c r="G321" s="205" t="s">
        <v>1012</v>
      </c>
      <c r="H321" s="205">
        <v>1</v>
      </c>
      <c r="I321" s="205">
        <v>50</v>
      </c>
      <c r="J321" s="205">
        <v>0</v>
      </c>
      <c r="K321" s="205">
        <v>0</v>
      </c>
    </row>
    <row r="322" spans="1:11" x14ac:dyDescent="0.25">
      <c r="A322" s="227">
        <v>321</v>
      </c>
      <c r="B322" s="227" t="s">
        <v>163</v>
      </c>
      <c r="C322" s="207" t="s">
        <v>684</v>
      </c>
      <c r="D322" s="207" t="s">
        <v>657</v>
      </c>
      <c r="E322" s="244" t="str">
        <f>IF(wd_8exud="","Null", wd_8exud)</f>
        <v>Null</v>
      </c>
      <c r="F322" s="206" t="s">
        <v>874</v>
      </c>
      <c r="G322" s="205" t="s">
        <v>1012</v>
      </c>
      <c r="H322" s="205">
        <v>1</v>
      </c>
      <c r="I322" s="205">
        <v>50</v>
      </c>
      <c r="J322" s="205">
        <v>0</v>
      </c>
      <c r="K322" s="205">
        <v>0</v>
      </c>
    </row>
    <row r="323" spans="1:11" x14ac:dyDescent="0.25">
      <c r="A323" s="227">
        <v>322</v>
      </c>
      <c r="B323" s="227" t="s">
        <v>163</v>
      </c>
      <c r="C323" s="207" t="s">
        <v>685</v>
      </c>
      <c r="D323" s="207" t="s">
        <v>658</v>
      </c>
      <c r="E323" s="222" t="str">
        <f>IF(Wnd9Cat="","Null", Wnd9Cat)</f>
        <v>Null</v>
      </c>
      <c r="F323" s="206" t="s">
        <v>870</v>
      </c>
      <c r="G323" s="205" t="s">
        <v>1012</v>
      </c>
      <c r="H323" s="205">
        <v>1</v>
      </c>
      <c r="I323" s="205">
        <v>500</v>
      </c>
      <c r="J323" s="205">
        <v>0</v>
      </c>
      <c r="K323" s="205">
        <v>0</v>
      </c>
    </row>
    <row r="324" spans="1:11" x14ac:dyDescent="0.25">
      <c r="A324" s="227">
        <v>323</v>
      </c>
      <c r="B324" s="227" t="s">
        <v>163</v>
      </c>
      <c r="C324" s="207" t="s">
        <v>685</v>
      </c>
      <c r="D324" s="207" t="s">
        <v>659</v>
      </c>
      <c r="E324" s="222" t="str">
        <f>IF(wd_9loc="","Null", wd_9loc)</f>
        <v>Null</v>
      </c>
      <c r="F324" s="206" t="s">
        <v>871</v>
      </c>
      <c r="G324" s="205" t="s">
        <v>1012</v>
      </c>
      <c r="H324" s="205">
        <v>1</v>
      </c>
      <c r="I324" s="205">
        <v>50</v>
      </c>
      <c r="J324" s="205">
        <v>0</v>
      </c>
      <c r="K324" s="205">
        <v>0</v>
      </c>
    </row>
    <row r="325" spans="1:11" x14ac:dyDescent="0.25">
      <c r="A325" s="227">
        <v>324</v>
      </c>
      <c r="B325" s="227" t="s">
        <v>163</v>
      </c>
      <c r="C325" s="207" t="s">
        <v>685</v>
      </c>
      <c r="D325" s="207" t="s">
        <v>660</v>
      </c>
      <c r="E325" s="222" t="str">
        <f>IF(wd_9type="","Null", wd_9type)</f>
        <v>Null</v>
      </c>
      <c r="F325" s="206" t="s">
        <v>872</v>
      </c>
      <c r="G325" s="205" t="s">
        <v>1012</v>
      </c>
      <c r="H325" s="205">
        <v>1</v>
      </c>
      <c r="I325" s="205">
        <v>500</v>
      </c>
      <c r="J325" s="205">
        <v>0</v>
      </c>
      <c r="K325" s="205">
        <v>0</v>
      </c>
    </row>
    <row r="326" spans="1:11" x14ac:dyDescent="0.25">
      <c r="A326" s="227">
        <v>325</v>
      </c>
      <c r="B326" s="227" t="s">
        <v>163</v>
      </c>
      <c r="C326" s="207" t="s">
        <v>685</v>
      </c>
      <c r="D326" s="207" t="s">
        <v>661</v>
      </c>
      <c r="E326" s="222" t="str">
        <f>IF(wd_9tysub="","Null", wd_9tysub)</f>
        <v>Null</v>
      </c>
      <c r="F326" s="206" t="s">
        <v>873</v>
      </c>
      <c r="G326" s="205" t="s">
        <v>1012</v>
      </c>
      <c r="H326" s="205">
        <v>1</v>
      </c>
      <c r="I326" s="205">
        <v>500</v>
      </c>
      <c r="J326" s="205">
        <v>0</v>
      </c>
      <c r="K326" s="205">
        <v>0</v>
      </c>
    </row>
    <row r="327" spans="1:11" x14ac:dyDescent="0.25">
      <c r="A327" s="227">
        <v>326</v>
      </c>
      <c r="B327" s="227" t="s">
        <v>163</v>
      </c>
      <c r="C327" s="207" t="s">
        <v>685</v>
      </c>
      <c r="D327" s="207" t="s">
        <v>662</v>
      </c>
      <c r="E327" s="222" t="str">
        <f>IF(wd_9chronic="","Null", wd_9chronic)</f>
        <v>Null</v>
      </c>
      <c r="F327" s="206" t="s">
        <v>874</v>
      </c>
      <c r="G327" s="205" t="s">
        <v>1012</v>
      </c>
      <c r="H327" s="205">
        <v>1</v>
      </c>
      <c r="I327" s="205">
        <v>50</v>
      </c>
      <c r="J327" s="205">
        <v>0</v>
      </c>
      <c r="K327" s="205">
        <v>0</v>
      </c>
    </row>
    <row r="328" spans="1:11" x14ac:dyDescent="0.25">
      <c r="A328" s="227">
        <v>327</v>
      </c>
      <c r="B328" s="227" t="s">
        <v>163</v>
      </c>
      <c r="C328" s="207" t="s">
        <v>685</v>
      </c>
      <c r="D328" s="207" t="s">
        <v>663</v>
      </c>
      <c r="E328" s="208" t="b">
        <v>0</v>
      </c>
      <c r="F328" s="206" t="s">
        <v>874</v>
      </c>
      <c r="G328" s="205" t="s">
        <v>1012</v>
      </c>
      <c r="H328" s="205">
        <v>1</v>
      </c>
      <c r="I328" s="205">
        <v>50</v>
      </c>
      <c r="J328" s="205">
        <v>0</v>
      </c>
      <c r="K328" s="205">
        <v>0</v>
      </c>
    </row>
    <row r="329" spans="1:11" x14ac:dyDescent="0.25">
      <c r="A329" s="227">
        <v>328</v>
      </c>
      <c r="B329" s="227" t="s">
        <v>163</v>
      </c>
      <c r="C329" s="207" t="s">
        <v>685</v>
      </c>
      <c r="D329" s="207" t="s">
        <v>664</v>
      </c>
      <c r="E329" s="222" t="str">
        <f>IF(wd_9moist="","Null", wd_9moist)</f>
        <v>Null</v>
      </c>
      <c r="F329" s="206" t="s">
        <v>874</v>
      </c>
      <c r="G329" s="205" t="s">
        <v>1012</v>
      </c>
      <c r="H329" s="205">
        <v>1</v>
      </c>
      <c r="I329" s="205">
        <v>50</v>
      </c>
      <c r="J329" s="205">
        <v>0</v>
      </c>
      <c r="K329" s="205">
        <v>0</v>
      </c>
    </row>
    <row r="330" spans="1:11" x14ac:dyDescent="0.25">
      <c r="A330" s="227">
        <v>329</v>
      </c>
      <c r="B330" s="227" t="s">
        <v>163</v>
      </c>
      <c r="C330" s="207" t="s">
        <v>685</v>
      </c>
      <c r="D330" s="207" t="s">
        <v>665</v>
      </c>
      <c r="E330" s="222" t="str">
        <f>IF(wd_9edge="","Null", wd_9edge)</f>
        <v>Null</v>
      </c>
      <c r="F330" s="206" t="s">
        <v>874</v>
      </c>
      <c r="G330" s="205" t="s">
        <v>1012</v>
      </c>
      <c r="H330" s="205">
        <v>1</v>
      </c>
      <c r="I330" s="205">
        <v>50</v>
      </c>
      <c r="J330" s="205">
        <v>0</v>
      </c>
      <c r="K330" s="205">
        <v>0</v>
      </c>
    </row>
    <row r="331" spans="1:11" x14ac:dyDescent="0.25">
      <c r="A331" s="227">
        <v>330</v>
      </c>
      <c r="B331" s="227" t="s">
        <v>163</v>
      </c>
      <c r="C331" s="207" t="s">
        <v>685</v>
      </c>
      <c r="D331" s="207" t="s">
        <v>666</v>
      </c>
      <c r="E331" s="222" t="str">
        <f>IF(wd_9len="","Null", wd_9len)</f>
        <v>Null</v>
      </c>
      <c r="F331" s="206" t="s">
        <v>874</v>
      </c>
      <c r="G331" s="205" t="s">
        <v>1012</v>
      </c>
      <c r="H331" s="205">
        <v>1</v>
      </c>
      <c r="I331" s="205">
        <v>50</v>
      </c>
      <c r="J331" s="205">
        <v>0</v>
      </c>
      <c r="K331" s="205">
        <v>0</v>
      </c>
    </row>
    <row r="332" spans="1:11" x14ac:dyDescent="0.25">
      <c r="A332" s="227">
        <v>331</v>
      </c>
      <c r="B332" s="227" t="s">
        <v>163</v>
      </c>
      <c r="C332" s="207" t="s">
        <v>685</v>
      </c>
      <c r="D332" s="207" t="s">
        <v>667</v>
      </c>
      <c r="E332" s="222" t="str">
        <f>IF(wd_9wid="","Null", wd_9wid)</f>
        <v>Null</v>
      </c>
      <c r="F332" s="206" t="s">
        <v>874</v>
      </c>
      <c r="G332" s="205" t="s">
        <v>1012</v>
      </c>
      <c r="H332" s="205">
        <v>1</v>
      </c>
      <c r="I332" s="205">
        <v>50</v>
      </c>
      <c r="J332" s="205">
        <v>0</v>
      </c>
      <c r="K332" s="205">
        <v>0</v>
      </c>
    </row>
    <row r="333" spans="1:11" x14ac:dyDescent="0.25">
      <c r="A333" s="227">
        <v>332</v>
      </c>
      <c r="B333" s="227" t="s">
        <v>163</v>
      </c>
      <c r="C333" s="207" t="s">
        <v>685</v>
      </c>
      <c r="D333" s="207" t="s">
        <v>668</v>
      </c>
      <c r="E333" s="222" t="str">
        <f>IF(wd_9dep="","Null", wd_9dep)</f>
        <v>Null</v>
      </c>
      <c r="F333" s="206" t="s">
        <v>874</v>
      </c>
      <c r="G333" s="205" t="s">
        <v>1012</v>
      </c>
      <c r="H333" s="205">
        <v>1</v>
      </c>
      <c r="I333" s="205">
        <v>50</v>
      </c>
      <c r="J333" s="205">
        <v>0</v>
      </c>
      <c r="K333" s="205">
        <v>0</v>
      </c>
    </row>
    <row r="334" spans="1:11" x14ac:dyDescent="0.25">
      <c r="A334" s="227">
        <v>333</v>
      </c>
      <c r="B334" s="227" t="s">
        <v>163</v>
      </c>
      <c r="C334" s="207" t="s">
        <v>685</v>
      </c>
      <c r="D334" s="207" t="s">
        <v>669</v>
      </c>
      <c r="E334" s="222" t="str">
        <f>IF(wnd_9tunl="","Null", wnd_9tunl)</f>
        <v>Null</v>
      </c>
      <c r="F334" s="206" t="s">
        <v>874</v>
      </c>
      <c r="G334" s="205" t="s">
        <v>1012</v>
      </c>
      <c r="H334" s="205">
        <v>1</v>
      </c>
      <c r="I334" s="205">
        <v>50</v>
      </c>
      <c r="J334" s="205">
        <v>0</v>
      </c>
      <c r="K334" s="205">
        <v>0</v>
      </c>
    </row>
    <row r="335" spans="1:11" x14ac:dyDescent="0.25">
      <c r="A335" s="227">
        <v>334</v>
      </c>
      <c r="B335" s="227" t="s">
        <v>163</v>
      </c>
      <c r="C335" s="207" t="s">
        <v>685</v>
      </c>
      <c r="D335" s="207" t="s">
        <v>670</v>
      </c>
      <c r="E335" s="222" t="str">
        <f>IF(wnd_9undm="","Null", wnd_9undm)</f>
        <v>Null</v>
      </c>
      <c r="F335" s="206" t="s">
        <v>874</v>
      </c>
      <c r="G335" s="205" t="s">
        <v>1012</v>
      </c>
      <c r="H335" s="205">
        <v>1</v>
      </c>
      <c r="I335" s="205">
        <v>50</v>
      </c>
      <c r="J335" s="205">
        <v>0</v>
      </c>
      <c r="K335" s="205">
        <v>0</v>
      </c>
    </row>
    <row r="336" spans="1:11" x14ac:dyDescent="0.25">
      <c r="A336" s="227">
        <v>335</v>
      </c>
      <c r="B336" s="227" t="s">
        <v>163</v>
      </c>
      <c r="C336" s="207" t="s">
        <v>685</v>
      </c>
      <c r="D336" s="207" t="s">
        <v>671</v>
      </c>
      <c r="E336" s="244" t="str">
        <f>IF(wnd_9debr="","Null", wnd_9debr)</f>
        <v>Null</v>
      </c>
      <c r="F336" s="206" t="s">
        <v>874</v>
      </c>
      <c r="G336" s="205" t="s">
        <v>1010</v>
      </c>
      <c r="H336" s="205">
        <v>1</v>
      </c>
      <c r="I336" s="205">
        <v>10</v>
      </c>
      <c r="J336" s="205">
        <v>0</v>
      </c>
      <c r="K336" s="205">
        <v>0</v>
      </c>
    </row>
    <row r="337" spans="1:11" x14ac:dyDescent="0.25">
      <c r="A337" s="227">
        <v>336</v>
      </c>
      <c r="B337" s="227" t="s">
        <v>163</v>
      </c>
      <c r="C337" s="207" t="s">
        <v>685</v>
      </c>
      <c r="D337" s="207" t="s">
        <v>672</v>
      </c>
      <c r="E337" s="208" t="b">
        <v>0</v>
      </c>
      <c r="F337" s="206" t="s">
        <v>874</v>
      </c>
      <c r="G337" s="205" t="s">
        <v>1012</v>
      </c>
      <c r="H337" s="205">
        <v>1</v>
      </c>
      <c r="I337" s="205">
        <v>50</v>
      </c>
      <c r="J337" s="205">
        <v>0</v>
      </c>
      <c r="K337" s="205">
        <v>0</v>
      </c>
    </row>
    <row r="338" spans="1:11" x14ac:dyDescent="0.25">
      <c r="A338" s="227">
        <v>337</v>
      </c>
      <c r="B338" s="227" t="s">
        <v>163</v>
      </c>
      <c r="C338" s="207" t="s">
        <v>685</v>
      </c>
      <c r="D338" s="207" t="s">
        <v>673</v>
      </c>
      <c r="E338" s="208" t="b">
        <v>0</v>
      </c>
      <c r="F338" s="206" t="s">
        <v>874</v>
      </c>
      <c r="G338" s="205" t="s">
        <v>1012</v>
      </c>
      <c r="H338" s="205">
        <v>1</v>
      </c>
      <c r="I338" s="205">
        <v>50</v>
      </c>
      <c r="J338" s="205">
        <v>0</v>
      </c>
      <c r="K338" s="205">
        <v>0</v>
      </c>
    </row>
    <row r="339" spans="1:11" x14ac:dyDescent="0.25">
      <c r="A339" s="227">
        <v>338</v>
      </c>
      <c r="B339" s="227" t="s">
        <v>163</v>
      </c>
      <c r="C339" s="227" t="s">
        <v>685</v>
      </c>
      <c r="D339" s="227" t="s">
        <v>674</v>
      </c>
      <c r="E339" s="208" t="b">
        <v>0</v>
      </c>
      <c r="F339" s="206" t="s">
        <v>874</v>
      </c>
      <c r="G339" s="205" t="s">
        <v>1012</v>
      </c>
      <c r="H339" s="205">
        <v>1</v>
      </c>
      <c r="I339" s="205">
        <v>50</v>
      </c>
      <c r="J339" s="205">
        <v>0</v>
      </c>
      <c r="K339" s="205">
        <v>0</v>
      </c>
    </row>
    <row r="340" spans="1:11" x14ac:dyDescent="0.25">
      <c r="A340" s="227">
        <v>339</v>
      </c>
      <c r="B340" s="227" t="s">
        <v>163</v>
      </c>
      <c r="C340" s="227" t="s">
        <v>685</v>
      </c>
      <c r="D340" s="227" t="s">
        <v>675</v>
      </c>
      <c r="E340" s="208" t="b">
        <v>0</v>
      </c>
      <c r="F340" s="206" t="s">
        <v>874</v>
      </c>
      <c r="G340" s="205" t="s">
        <v>1012</v>
      </c>
      <c r="H340" s="205">
        <v>1</v>
      </c>
      <c r="I340" s="205">
        <v>50</v>
      </c>
      <c r="J340" s="205">
        <v>0</v>
      </c>
      <c r="K340" s="205">
        <v>0</v>
      </c>
    </row>
    <row r="341" spans="1:11" x14ac:dyDescent="0.25">
      <c r="A341" s="227">
        <v>340</v>
      </c>
      <c r="B341" s="227" t="s">
        <v>163</v>
      </c>
      <c r="C341" s="227" t="s">
        <v>685</v>
      </c>
      <c r="D341" s="227" t="s">
        <v>676</v>
      </c>
      <c r="E341" s="208" t="b">
        <v>0</v>
      </c>
      <c r="F341" s="206" t="s">
        <v>874</v>
      </c>
      <c r="G341" s="205" t="s">
        <v>1012</v>
      </c>
      <c r="H341" s="205">
        <v>1</v>
      </c>
      <c r="I341" s="205">
        <v>50</v>
      </c>
      <c r="J341" s="205">
        <v>0</v>
      </c>
      <c r="K341" s="205">
        <v>0</v>
      </c>
    </row>
    <row r="342" spans="1:11" x14ac:dyDescent="0.25">
      <c r="A342" s="227">
        <v>341</v>
      </c>
      <c r="B342" s="227" t="s">
        <v>163</v>
      </c>
      <c r="C342" s="227" t="s">
        <v>685</v>
      </c>
      <c r="D342" s="227" t="s">
        <v>677</v>
      </c>
      <c r="E342" s="208" t="b">
        <v>0</v>
      </c>
      <c r="F342" s="206" t="s">
        <v>874</v>
      </c>
      <c r="G342" s="205" t="s">
        <v>1012</v>
      </c>
      <c r="H342" s="205">
        <v>1</v>
      </c>
      <c r="I342" s="205">
        <v>50</v>
      </c>
      <c r="J342" s="205">
        <v>0</v>
      </c>
      <c r="K342" s="205">
        <v>0</v>
      </c>
    </row>
    <row r="343" spans="1:11" x14ac:dyDescent="0.25">
      <c r="A343" s="227">
        <v>342</v>
      </c>
      <c r="B343" s="227" t="s">
        <v>163</v>
      </c>
      <c r="C343" s="227" t="s">
        <v>685</v>
      </c>
      <c r="D343" s="227" t="s">
        <v>678</v>
      </c>
      <c r="E343" s="244" t="str">
        <f>IF(wd_9exud="","Null", wd_9exud)</f>
        <v>Null</v>
      </c>
      <c r="F343" s="206" t="s">
        <v>874</v>
      </c>
      <c r="G343" s="205" t="s">
        <v>1012</v>
      </c>
      <c r="H343" s="205">
        <v>1</v>
      </c>
      <c r="I343" s="205">
        <v>50</v>
      </c>
      <c r="J343" s="205">
        <v>0</v>
      </c>
      <c r="K343" s="205">
        <v>0</v>
      </c>
    </row>
    <row r="344" spans="1:11" x14ac:dyDescent="0.25">
      <c r="A344" s="227">
        <v>343</v>
      </c>
      <c r="B344" s="207" t="s">
        <v>163</v>
      </c>
      <c r="C344" s="207" t="s">
        <v>181</v>
      </c>
      <c r="D344" s="227" t="s">
        <v>1123</v>
      </c>
      <c r="E344" s="222" t="str">
        <f>IF(wd_1tyoth="","Null", wd_1tyoth)</f>
        <v>Null</v>
      </c>
      <c r="F344" s="206" t="s">
        <v>875</v>
      </c>
      <c r="G344" s="205" t="s">
        <v>1012</v>
      </c>
      <c r="H344" s="205">
        <v>1</v>
      </c>
      <c r="I344" s="205">
        <v>500</v>
      </c>
      <c r="J344" s="205">
        <v>0</v>
      </c>
      <c r="K344" s="205">
        <v>0</v>
      </c>
    </row>
    <row r="345" spans="1:11" x14ac:dyDescent="0.25">
      <c r="A345" s="227">
        <v>344</v>
      </c>
      <c r="B345" s="207" t="s">
        <v>163</v>
      </c>
      <c r="C345" s="207" t="s">
        <v>185</v>
      </c>
      <c r="D345" s="227" t="s">
        <v>1124</v>
      </c>
      <c r="E345" s="222" t="str">
        <f>IF(wd_2tyoth="","Null", wd_2tyoth)</f>
        <v>Null</v>
      </c>
      <c r="F345" s="206" t="s">
        <v>875</v>
      </c>
      <c r="G345" s="205" t="s">
        <v>1012</v>
      </c>
      <c r="H345" s="205">
        <v>1</v>
      </c>
      <c r="I345" s="205">
        <v>500</v>
      </c>
      <c r="J345" s="205">
        <v>0</v>
      </c>
      <c r="K345" s="205">
        <v>0</v>
      </c>
    </row>
    <row r="346" spans="1:11" x14ac:dyDescent="0.25">
      <c r="A346" s="227">
        <v>345</v>
      </c>
      <c r="B346" s="207" t="s">
        <v>163</v>
      </c>
      <c r="C346" s="207" t="s">
        <v>186</v>
      </c>
      <c r="D346" s="227" t="s">
        <v>1125</v>
      </c>
      <c r="E346" s="222" t="str">
        <f>IF(wd_3tyoth="","Null", wd_3tyoth)</f>
        <v>Null</v>
      </c>
      <c r="F346" s="206" t="s">
        <v>875</v>
      </c>
      <c r="G346" s="205" t="s">
        <v>1012</v>
      </c>
      <c r="H346" s="205">
        <v>1</v>
      </c>
      <c r="I346" s="205">
        <v>500</v>
      </c>
      <c r="J346" s="205">
        <v>0</v>
      </c>
      <c r="K346" s="205">
        <v>0</v>
      </c>
    </row>
    <row r="347" spans="1:11" x14ac:dyDescent="0.25">
      <c r="A347" s="227">
        <v>346</v>
      </c>
      <c r="B347" s="207" t="s">
        <v>163</v>
      </c>
      <c r="C347" s="207" t="s">
        <v>680</v>
      </c>
      <c r="D347" s="227" t="s">
        <v>1126</v>
      </c>
      <c r="E347" s="222" t="str">
        <f>IF(wd_4tyoth="","Null", wd_4tyoth)</f>
        <v>Null</v>
      </c>
      <c r="F347" s="206" t="s">
        <v>875</v>
      </c>
      <c r="G347" s="205" t="s">
        <v>1012</v>
      </c>
      <c r="H347" s="205">
        <v>1</v>
      </c>
      <c r="I347" s="205">
        <v>500</v>
      </c>
      <c r="J347" s="205">
        <v>0</v>
      </c>
      <c r="K347" s="205">
        <v>0</v>
      </c>
    </row>
    <row r="348" spans="1:11" x14ac:dyDescent="0.25">
      <c r="A348" s="227">
        <v>347</v>
      </c>
      <c r="B348" s="207" t="s">
        <v>163</v>
      </c>
      <c r="C348" s="207" t="s">
        <v>681</v>
      </c>
      <c r="D348" s="227" t="s">
        <v>1127</v>
      </c>
      <c r="E348" s="222" t="str">
        <f>IF(wd_5tyoth="","Null", wd_5tyoth)</f>
        <v>Null</v>
      </c>
      <c r="F348" s="206" t="s">
        <v>875</v>
      </c>
      <c r="G348" s="205" t="s">
        <v>1012</v>
      </c>
      <c r="H348" s="205">
        <v>1</v>
      </c>
      <c r="I348" s="205">
        <v>500</v>
      </c>
      <c r="J348" s="205">
        <v>0</v>
      </c>
      <c r="K348" s="205">
        <v>0</v>
      </c>
    </row>
    <row r="349" spans="1:11" x14ac:dyDescent="0.25">
      <c r="A349" s="227">
        <v>348</v>
      </c>
      <c r="B349" s="207" t="s">
        <v>163</v>
      </c>
      <c r="C349" s="207" t="s">
        <v>682</v>
      </c>
      <c r="D349" s="227" t="s">
        <v>1128</v>
      </c>
      <c r="E349" s="222" t="str">
        <f>IF(wd_6tyoth="","Null", wd_6tyoth)</f>
        <v>Null</v>
      </c>
      <c r="F349" s="206" t="s">
        <v>875</v>
      </c>
      <c r="G349" s="205" t="s">
        <v>1012</v>
      </c>
      <c r="H349" s="205">
        <v>1</v>
      </c>
      <c r="I349" s="205">
        <v>500</v>
      </c>
      <c r="J349" s="205">
        <v>0</v>
      </c>
      <c r="K349" s="205">
        <v>0</v>
      </c>
    </row>
    <row r="350" spans="1:11" x14ac:dyDescent="0.25">
      <c r="A350" s="227">
        <v>349</v>
      </c>
      <c r="B350" s="207" t="s">
        <v>163</v>
      </c>
      <c r="C350" s="207" t="s">
        <v>683</v>
      </c>
      <c r="D350" s="227" t="s">
        <v>1129</v>
      </c>
      <c r="E350" s="222" t="str">
        <f>IF(wd_7tyoth="","Null", wd_7tyoth)</f>
        <v>Null</v>
      </c>
      <c r="F350" s="206" t="s">
        <v>875</v>
      </c>
      <c r="G350" s="205" t="s">
        <v>1012</v>
      </c>
      <c r="H350" s="205">
        <v>1</v>
      </c>
      <c r="I350" s="205">
        <v>500</v>
      </c>
      <c r="J350" s="205">
        <v>0</v>
      </c>
      <c r="K350" s="205">
        <v>0</v>
      </c>
    </row>
    <row r="351" spans="1:11" x14ac:dyDescent="0.25">
      <c r="A351" s="227">
        <v>350</v>
      </c>
      <c r="B351" s="207" t="s">
        <v>163</v>
      </c>
      <c r="C351" s="207" t="s">
        <v>684</v>
      </c>
      <c r="D351" s="227" t="s">
        <v>1130</v>
      </c>
      <c r="E351" s="222" t="str">
        <f>IF(wd_8tyoth="","Null", wd_8tyoth)</f>
        <v>Null</v>
      </c>
      <c r="F351" s="206" t="s">
        <v>875</v>
      </c>
      <c r="G351" s="205" t="s">
        <v>1012</v>
      </c>
      <c r="H351" s="205">
        <v>1</v>
      </c>
      <c r="I351" s="205">
        <v>500</v>
      </c>
      <c r="J351" s="205">
        <v>0</v>
      </c>
      <c r="K351" s="205">
        <v>0</v>
      </c>
    </row>
    <row r="352" spans="1:11" x14ac:dyDescent="0.25">
      <c r="A352" s="227">
        <v>351</v>
      </c>
      <c r="B352" s="207" t="s">
        <v>163</v>
      </c>
      <c r="C352" s="207" t="s">
        <v>685</v>
      </c>
      <c r="D352" s="227" t="s">
        <v>1131</v>
      </c>
      <c r="E352" s="222" t="str">
        <f>IF(wd_9tyoth="","Null", wd_9tyoth)</f>
        <v>Null</v>
      </c>
      <c r="F352" s="206" t="s">
        <v>875</v>
      </c>
      <c r="G352" s="205" t="s">
        <v>1012</v>
      </c>
      <c r="H352" s="205">
        <v>1</v>
      </c>
      <c r="I352" s="205">
        <v>500</v>
      </c>
      <c r="J352" s="205">
        <v>0</v>
      </c>
      <c r="K352" s="205">
        <v>0</v>
      </c>
    </row>
    <row r="353" spans="1:11" x14ac:dyDescent="0.25">
      <c r="A353" s="227">
        <v>352</v>
      </c>
      <c r="B353" s="207" t="s">
        <v>407</v>
      </c>
      <c r="C353" s="207" t="s">
        <v>680</v>
      </c>
      <c r="D353" s="207" t="s">
        <v>686</v>
      </c>
      <c r="E353" s="222" t="str">
        <f>IF(pr_wd4Moisture="","Null", pr_wd4Moisture)</f>
        <v>Null</v>
      </c>
      <c r="F353" s="206" t="s">
        <v>880</v>
      </c>
      <c r="G353" s="205" t="s">
        <v>1012</v>
      </c>
      <c r="H353" s="205">
        <v>1</v>
      </c>
      <c r="I353" s="205">
        <v>50</v>
      </c>
      <c r="J353" s="205">
        <v>0</v>
      </c>
      <c r="K353" s="205">
        <v>0</v>
      </c>
    </row>
    <row r="354" spans="1:11" x14ac:dyDescent="0.25">
      <c r="A354" s="227">
        <v>353</v>
      </c>
      <c r="B354" s="207" t="s">
        <v>407</v>
      </c>
      <c r="C354" s="207" t="s">
        <v>681</v>
      </c>
      <c r="D354" s="207" t="s">
        <v>702</v>
      </c>
      <c r="E354" s="222" t="str">
        <f>IF(pr_wd5Moisture="","Null", pr_wd5Moisture)</f>
        <v>Null</v>
      </c>
      <c r="F354" s="206" t="s">
        <v>880</v>
      </c>
      <c r="G354" s="205" t="s">
        <v>1012</v>
      </c>
      <c r="H354" s="205">
        <v>1</v>
      </c>
      <c r="I354" s="205">
        <v>50</v>
      </c>
      <c r="J354" s="205">
        <v>0</v>
      </c>
      <c r="K354" s="205">
        <v>0</v>
      </c>
    </row>
    <row r="355" spans="1:11" x14ac:dyDescent="0.25">
      <c r="A355" s="227">
        <v>354</v>
      </c>
      <c r="B355" s="207" t="s">
        <v>407</v>
      </c>
      <c r="C355" s="207" t="s">
        <v>682</v>
      </c>
      <c r="D355" s="207" t="s">
        <v>718</v>
      </c>
      <c r="E355" s="222" t="str">
        <f>IF(pr_wd6Moisture="","Null", pr_wd6Moisture)</f>
        <v>Null</v>
      </c>
      <c r="F355" s="206" t="s">
        <v>880</v>
      </c>
      <c r="G355" s="205" t="s">
        <v>1012</v>
      </c>
      <c r="H355" s="205">
        <v>1</v>
      </c>
      <c r="I355" s="205">
        <v>50</v>
      </c>
      <c r="J355" s="205">
        <v>0</v>
      </c>
      <c r="K355" s="205">
        <v>0</v>
      </c>
    </row>
    <row r="356" spans="1:11" x14ac:dyDescent="0.25">
      <c r="A356" s="227">
        <v>355</v>
      </c>
      <c r="B356" s="207" t="s">
        <v>407</v>
      </c>
      <c r="C356" s="207" t="s">
        <v>680</v>
      </c>
      <c r="D356" s="207" t="s">
        <v>687</v>
      </c>
      <c r="E356" s="222" t="str">
        <f>IF(pr_wd4Edges="","Null", pr_wd4Edges)</f>
        <v>Null</v>
      </c>
      <c r="F356" s="206" t="s">
        <v>880</v>
      </c>
      <c r="G356" s="205" t="s">
        <v>1012</v>
      </c>
      <c r="H356" s="205">
        <v>1</v>
      </c>
      <c r="I356" s="205">
        <v>50</v>
      </c>
      <c r="J356" s="205">
        <v>0</v>
      </c>
      <c r="K356" s="205">
        <v>0</v>
      </c>
    </row>
    <row r="357" spans="1:11" x14ac:dyDescent="0.25">
      <c r="A357" s="227">
        <v>356</v>
      </c>
      <c r="B357" s="207" t="s">
        <v>407</v>
      </c>
      <c r="C357" s="207" t="s">
        <v>681</v>
      </c>
      <c r="D357" s="207" t="s">
        <v>703</v>
      </c>
      <c r="E357" s="222" t="str">
        <f>IF(pr_wd5Edges="","Null", pr_wd5Edges)</f>
        <v>Null</v>
      </c>
      <c r="F357" s="206" t="s">
        <v>880</v>
      </c>
      <c r="G357" s="205" t="s">
        <v>1012</v>
      </c>
      <c r="H357" s="205">
        <v>1</v>
      </c>
      <c r="I357" s="205">
        <v>50</v>
      </c>
      <c r="J357" s="205">
        <v>0</v>
      </c>
      <c r="K357" s="205">
        <v>0</v>
      </c>
    </row>
    <row r="358" spans="1:11" x14ac:dyDescent="0.25">
      <c r="A358" s="227">
        <v>357</v>
      </c>
      <c r="B358" s="207" t="s">
        <v>407</v>
      </c>
      <c r="C358" s="207" t="s">
        <v>682</v>
      </c>
      <c r="D358" s="207" t="s">
        <v>719</v>
      </c>
      <c r="E358" s="222" t="str">
        <f>IF(pr_wd6Edges="","Null", pr_wd6Edges)</f>
        <v>Null</v>
      </c>
      <c r="F358" s="206" t="s">
        <v>880</v>
      </c>
      <c r="G358" s="205" t="s">
        <v>1012</v>
      </c>
      <c r="H358" s="205">
        <v>1</v>
      </c>
      <c r="I358" s="205">
        <v>50</v>
      </c>
      <c r="J358" s="205">
        <v>0</v>
      </c>
      <c r="K358" s="205">
        <v>0</v>
      </c>
    </row>
    <row r="359" spans="1:11" x14ac:dyDescent="0.25">
      <c r="A359" s="227">
        <v>358</v>
      </c>
      <c r="B359" s="207" t="s">
        <v>407</v>
      </c>
      <c r="C359" s="207" t="s">
        <v>680</v>
      </c>
      <c r="D359" s="207" t="s">
        <v>688</v>
      </c>
      <c r="E359" s="222" t="str">
        <f>IF(pr_wd4Len="","Null", pr_wd4Len)</f>
        <v>Null</v>
      </c>
      <c r="F359" s="206" t="s">
        <v>880</v>
      </c>
      <c r="G359" s="205" t="s">
        <v>1012</v>
      </c>
      <c r="H359" s="205">
        <v>1</v>
      </c>
      <c r="I359" s="205">
        <v>50</v>
      </c>
      <c r="J359" s="205">
        <v>0</v>
      </c>
      <c r="K359" s="205">
        <v>0</v>
      </c>
    </row>
    <row r="360" spans="1:11" x14ac:dyDescent="0.25">
      <c r="A360" s="227">
        <v>359</v>
      </c>
      <c r="B360" s="207" t="s">
        <v>407</v>
      </c>
      <c r="C360" s="207" t="s">
        <v>681</v>
      </c>
      <c r="D360" s="207" t="s">
        <v>704</v>
      </c>
      <c r="E360" s="222" t="str">
        <f>IF(pr_wd5Len="","Null", pr_wd5Len)</f>
        <v>Null</v>
      </c>
      <c r="F360" s="206" t="s">
        <v>880</v>
      </c>
      <c r="G360" s="205" t="s">
        <v>1012</v>
      </c>
      <c r="H360" s="205">
        <v>1</v>
      </c>
      <c r="I360" s="205">
        <v>50</v>
      </c>
      <c r="J360" s="205">
        <v>0</v>
      </c>
      <c r="K360" s="205">
        <v>0</v>
      </c>
    </row>
    <row r="361" spans="1:11" x14ac:dyDescent="0.25">
      <c r="A361" s="227">
        <v>360</v>
      </c>
      <c r="B361" s="207" t="s">
        <v>407</v>
      </c>
      <c r="C361" s="207" t="s">
        <v>682</v>
      </c>
      <c r="D361" s="207" t="s">
        <v>720</v>
      </c>
      <c r="E361" s="222" t="str">
        <f>IF(pr_wd6Len="","Null", pr_wd6Len)</f>
        <v>Null</v>
      </c>
      <c r="F361" s="206" t="s">
        <v>880</v>
      </c>
      <c r="G361" s="205" t="s">
        <v>1012</v>
      </c>
      <c r="H361" s="205">
        <v>1</v>
      </c>
      <c r="I361" s="205">
        <v>50</v>
      </c>
      <c r="J361" s="205">
        <v>0</v>
      </c>
      <c r="K361" s="205">
        <v>0</v>
      </c>
    </row>
    <row r="362" spans="1:11" x14ac:dyDescent="0.25">
      <c r="A362" s="227">
        <v>361</v>
      </c>
      <c r="B362" s="207" t="s">
        <v>407</v>
      </c>
      <c r="C362" s="207" t="s">
        <v>680</v>
      </c>
      <c r="D362" s="207" t="s">
        <v>689</v>
      </c>
      <c r="E362" s="222" t="str">
        <f>IF(pr_wd4Wid="","Null", pr_wd4Wid)</f>
        <v>Null</v>
      </c>
      <c r="F362" s="206" t="s">
        <v>880</v>
      </c>
      <c r="G362" s="205" t="s">
        <v>1012</v>
      </c>
      <c r="H362" s="205">
        <v>1</v>
      </c>
      <c r="I362" s="205">
        <v>50</v>
      </c>
      <c r="J362" s="205">
        <v>0</v>
      </c>
      <c r="K362" s="205">
        <v>0</v>
      </c>
    </row>
    <row r="363" spans="1:11" x14ac:dyDescent="0.25">
      <c r="A363" s="227">
        <v>362</v>
      </c>
      <c r="B363" s="207" t="s">
        <v>407</v>
      </c>
      <c r="C363" s="207" t="s">
        <v>681</v>
      </c>
      <c r="D363" s="207" t="s">
        <v>705</v>
      </c>
      <c r="E363" s="222" t="str">
        <f>IF(pr_wd5Wid="","Null", pr_wd5Wid)</f>
        <v>Null</v>
      </c>
      <c r="F363" s="206" t="s">
        <v>880</v>
      </c>
      <c r="G363" s="205" t="s">
        <v>1012</v>
      </c>
      <c r="H363" s="205">
        <v>1</v>
      </c>
      <c r="I363" s="205">
        <v>50</v>
      </c>
      <c r="J363" s="205">
        <v>0</v>
      </c>
      <c r="K363" s="205">
        <v>0</v>
      </c>
    </row>
    <row r="364" spans="1:11" x14ac:dyDescent="0.25">
      <c r="A364" s="227">
        <v>363</v>
      </c>
      <c r="B364" s="207" t="s">
        <v>407</v>
      </c>
      <c r="C364" s="207" t="s">
        <v>682</v>
      </c>
      <c r="D364" s="207" t="s">
        <v>721</v>
      </c>
      <c r="E364" s="222" t="str">
        <f>IF(pr_wd6Wid="","Null", pr_wd6Wid)</f>
        <v>Null</v>
      </c>
      <c r="F364" s="206" t="s">
        <v>880</v>
      </c>
      <c r="G364" s="205" t="s">
        <v>1012</v>
      </c>
      <c r="H364" s="205">
        <v>1</v>
      </c>
      <c r="I364" s="205">
        <v>50</v>
      </c>
      <c r="J364" s="205">
        <v>0</v>
      </c>
      <c r="K364" s="205">
        <v>0</v>
      </c>
    </row>
    <row r="365" spans="1:11" x14ac:dyDescent="0.25">
      <c r="A365" s="227">
        <v>364</v>
      </c>
      <c r="B365" s="207" t="s">
        <v>407</v>
      </c>
      <c r="C365" s="207" t="s">
        <v>680</v>
      </c>
      <c r="D365" s="207" t="s">
        <v>690</v>
      </c>
      <c r="E365" s="222" t="str">
        <f>IF(pr_wd4Dep="","Null", pr_wd4Dep)</f>
        <v>Null</v>
      </c>
      <c r="F365" s="206" t="s">
        <v>880</v>
      </c>
      <c r="G365" s="205" t="s">
        <v>1012</v>
      </c>
      <c r="H365" s="205">
        <v>1</v>
      </c>
      <c r="I365" s="205">
        <v>50</v>
      </c>
      <c r="J365" s="205">
        <v>0</v>
      </c>
      <c r="K365" s="205">
        <v>0</v>
      </c>
    </row>
    <row r="366" spans="1:11" x14ac:dyDescent="0.25">
      <c r="A366" s="227">
        <v>365</v>
      </c>
      <c r="B366" s="207" t="s">
        <v>407</v>
      </c>
      <c r="C366" s="207" t="s">
        <v>681</v>
      </c>
      <c r="D366" s="207" t="s">
        <v>706</v>
      </c>
      <c r="E366" s="222" t="str">
        <f>IF(pr_wd5Dep="","Null", pr_wd5Dep)</f>
        <v>Null</v>
      </c>
      <c r="F366" s="206" t="s">
        <v>880</v>
      </c>
      <c r="G366" s="205" t="s">
        <v>1012</v>
      </c>
      <c r="H366" s="205">
        <v>1</v>
      </c>
      <c r="I366" s="205">
        <v>50</v>
      </c>
      <c r="J366" s="205">
        <v>0</v>
      </c>
      <c r="K366" s="205">
        <v>0</v>
      </c>
    </row>
    <row r="367" spans="1:11" x14ac:dyDescent="0.25">
      <c r="A367" s="227">
        <v>366</v>
      </c>
      <c r="B367" s="207" t="s">
        <v>407</v>
      </c>
      <c r="C367" s="207" t="s">
        <v>682</v>
      </c>
      <c r="D367" s="207" t="s">
        <v>722</v>
      </c>
      <c r="E367" s="222" t="str">
        <f>IF(pr_wd6Dep="","Null", pr_wd6Dep)</f>
        <v>Null</v>
      </c>
      <c r="F367" s="206" t="s">
        <v>880</v>
      </c>
      <c r="G367" s="205" t="s">
        <v>1012</v>
      </c>
      <c r="H367" s="205">
        <v>1</v>
      </c>
      <c r="I367" s="205">
        <v>50</v>
      </c>
      <c r="J367" s="205">
        <v>0</v>
      </c>
      <c r="K367" s="205">
        <v>0</v>
      </c>
    </row>
    <row r="368" spans="1:11" x14ac:dyDescent="0.25">
      <c r="A368" s="227">
        <v>367</v>
      </c>
      <c r="B368" s="207" t="s">
        <v>407</v>
      </c>
      <c r="C368" s="207" t="s">
        <v>680</v>
      </c>
      <c r="D368" s="207" t="s">
        <v>691</v>
      </c>
      <c r="E368" s="222" t="str">
        <f>IF(pr_wd4Tunn="","Null", pr_wd4Tunn)</f>
        <v>Null</v>
      </c>
      <c r="F368" s="206" t="s">
        <v>880</v>
      </c>
      <c r="G368" s="205" t="s">
        <v>1012</v>
      </c>
      <c r="H368" s="205">
        <v>1</v>
      </c>
      <c r="I368" s="205">
        <v>50</v>
      </c>
      <c r="J368" s="205">
        <v>0</v>
      </c>
      <c r="K368" s="205">
        <v>0</v>
      </c>
    </row>
    <row r="369" spans="1:11" x14ac:dyDescent="0.25">
      <c r="A369" s="227">
        <v>368</v>
      </c>
      <c r="B369" s="207" t="s">
        <v>407</v>
      </c>
      <c r="C369" s="207" t="s">
        <v>681</v>
      </c>
      <c r="D369" s="207" t="s">
        <v>707</v>
      </c>
      <c r="E369" s="222" t="str">
        <f>IF(pr_wd5Tunn="","Null", pr_wd5Tunn)</f>
        <v>Null</v>
      </c>
      <c r="F369" s="206" t="s">
        <v>880</v>
      </c>
      <c r="G369" s="205" t="s">
        <v>1012</v>
      </c>
      <c r="H369" s="205">
        <v>1</v>
      </c>
      <c r="I369" s="205">
        <v>50</v>
      </c>
      <c r="J369" s="205">
        <v>0</v>
      </c>
      <c r="K369" s="205">
        <v>0</v>
      </c>
    </row>
    <row r="370" spans="1:11" x14ac:dyDescent="0.25">
      <c r="A370" s="227">
        <v>369</v>
      </c>
      <c r="B370" s="207" t="s">
        <v>407</v>
      </c>
      <c r="C370" s="207" t="s">
        <v>682</v>
      </c>
      <c r="D370" s="207" t="s">
        <v>723</v>
      </c>
      <c r="E370" s="222" t="str">
        <f>IF(pr_wd6Tunn="","Null", pr_wd6Tunn)</f>
        <v>Null</v>
      </c>
      <c r="F370" s="206" t="s">
        <v>880</v>
      </c>
      <c r="G370" s="205" t="s">
        <v>1012</v>
      </c>
      <c r="H370" s="205">
        <v>1</v>
      </c>
      <c r="I370" s="205">
        <v>50</v>
      </c>
      <c r="J370" s="205">
        <v>0</v>
      </c>
      <c r="K370" s="205">
        <v>0</v>
      </c>
    </row>
    <row r="371" spans="1:11" x14ac:dyDescent="0.25">
      <c r="A371" s="227">
        <v>370</v>
      </c>
      <c r="B371" s="207" t="s">
        <v>407</v>
      </c>
      <c r="C371" s="207" t="s">
        <v>680</v>
      </c>
      <c r="D371" s="207" t="s">
        <v>692</v>
      </c>
      <c r="E371" s="222" t="str">
        <f>IF(pr_wd4Undermin="","Null", pr_wd4Undermin)</f>
        <v>Null</v>
      </c>
      <c r="F371" s="206" t="s">
        <v>880</v>
      </c>
      <c r="G371" s="205" t="s">
        <v>1012</v>
      </c>
      <c r="H371" s="205">
        <v>1</v>
      </c>
      <c r="I371" s="205">
        <v>50</v>
      </c>
      <c r="J371" s="205">
        <v>0</v>
      </c>
      <c r="K371" s="205">
        <v>0</v>
      </c>
    </row>
    <row r="372" spans="1:11" x14ac:dyDescent="0.25">
      <c r="A372" s="227">
        <v>371</v>
      </c>
      <c r="B372" s="207" t="s">
        <v>407</v>
      </c>
      <c r="C372" s="207" t="s">
        <v>681</v>
      </c>
      <c r="D372" s="207" t="s">
        <v>708</v>
      </c>
      <c r="E372" s="222" t="str">
        <f>IF(pr_wd5Undermin="","Null", pr_wd5Undermin)</f>
        <v>Null</v>
      </c>
      <c r="F372" s="206" t="s">
        <v>880</v>
      </c>
      <c r="G372" s="205" t="s">
        <v>1012</v>
      </c>
      <c r="H372" s="205">
        <v>1</v>
      </c>
      <c r="I372" s="205">
        <v>50</v>
      </c>
      <c r="J372" s="205">
        <v>0</v>
      </c>
      <c r="K372" s="205">
        <v>0</v>
      </c>
    </row>
    <row r="373" spans="1:11" x14ac:dyDescent="0.25">
      <c r="A373" s="227">
        <v>372</v>
      </c>
      <c r="B373" s="207" t="s">
        <v>407</v>
      </c>
      <c r="C373" s="207" t="s">
        <v>682</v>
      </c>
      <c r="D373" s="207" t="s">
        <v>724</v>
      </c>
      <c r="E373" s="222" t="str">
        <f>IF(pr_wd6Undermin="","Null", pr_wd6Undermin)</f>
        <v>Null</v>
      </c>
      <c r="F373" s="206" t="s">
        <v>880</v>
      </c>
      <c r="G373" s="205" t="s">
        <v>1012</v>
      </c>
      <c r="H373" s="205">
        <v>1</v>
      </c>
      <c r="I373" s="205">
        <v>50</v>
      </c>
      <c r="J373" s="205">
        <v>0</v>
      </c>
      <c r="K373" s="205">
        <v>0</v>
      </c>
    </row>
    <row r="374" spans="1:11" x14ac:dyDescent="0.25">
      <c r="A374" s="227">
        <v>373</v>
      </c>
      <c r="B374" s="207" t="s">
        <v>407</v>
      </c>
      <c r="C374" s="207" t="s">
        <v>680</v>
      </c>
      <c r="D374" s="207" t="s">
        <v>693</v>
      </c>
      <c r="E374" s="244" t="str">
        <f>IF(pr_wd4DebrideDate="","Null", pr_wd4DebrideDate)</f>
        <v>Null</v>
      </c>
      <c r="F374" s="206" t="s">
        <v>880</v>
      </c>
      <c r="G374" s="205" t="s">
        <v>1010</v>
      </c>
      <c r="H374" s="205">
        <v>1</v>
      </c>
      <c r="I374" s="205">
        <v>10</v>
      </c>
      <c r="J374" s="205">
        <v>0</v>
      </c>
      <c r="K374" s="205">
        <v>0</v>
      </c>
    </row>
    <row r="375" spans="1:11" x14ac:dyDescent="0.25">
      <c r="A375" s="227">
        <v>374</v>
      </c>
      <c r="B375" s="207" t="s">
        <v>407</v>
      </c>
      <c r="C375" s="207" t="s">
        <v>681</v>
      </c>
      <c r="D375" s="207" t="s">
        <v>709</v>
      </c>
      <c r="E375" s="244" t="str">
        <f>IF(pr_wd5DebrideDate="","Null", pr_wd5DebrideDate)</f>
        <v>Null</v>
      </c>
      <c r="F375" s="206" t="s">
        <v>880</v>
      </c>
      <c r="G375" s="205" t="s">
        <v>1010</v>
      </c>
      <c r="H375" s="205">
        <v>1</v>
      </c>
      <c r="I375" s="205">
        <v>10</v>
      </c>
      <c r="J375" s="205">
        <v>0</v>
      </c>
      <c r="K375" s="205">
        <v>0</v>
      </c>
    </row>
    <row r="376" spans="1:11" x14ac:dyDescent="0.25">
      <c r="A376" s="227">
        <v>375</v>
      </c>
      <c r="B376" s="207" t="s">
        <v>407</v>
      </c>
      <c r="C376" s="207" t="s">
        <v>682</v>
      </c>
      <c r="D376" s="207" t="s">
        <v>725</v>
      </c>
      <c r="E376" s="244" t="str">
        <f>IF(pr_wd6DebrideDate="","Null", pr_wd6DebrideDate)</f>
        <v>Null</v>
      </c>
      <c r="F376" s="206" t="s">
        <v>880</v>
      </c>
      <c r="G376" s="205" t="s">
        <v>1010</v>
      </c>
      <c r="H376" s="205">
        <v>1</v>
      </c>
      <c r="I376" s="205">
        <v>10</v>
      </c>
      <c r="J376" s="205">
        <v>0</v>
      </c>
      <c r="K376" s="205">
        <v>0</v>
      </c>
    </row>
    <row r="377" spans="1:11" x14ac:dyDescent="0.25">
      <c r="A377" s="227">
        <v>376</v>
      </c>
      <c r="B377" s="207" t="s">
        <v>407</v>
      </c>
      <c r="C377" s="207" t="s">
        <v>680</v>
      </c>
      <c r="D377" s="207" t="s">
        <v>694</v>
      </c>
      <c r="E377" s="208" t="b">
        <v>0</v>
      </c>
      <c r="F377" s="206" t="s">
        <v>880</v>
      </c>
      <c r="G377" s="205" t="s">
        <v>1012</v>
      </c>
      <c r="H377" s="205">
        <v>1</v>
      </c>
      <c r="I377" s="205">
        <v>50</v>
      </c>
      <c r="J377" s="205">
        <v>0</v>
      </c>
      <c r="K377" s="205">
        <v>0</v>
      </c>
    </row>
    <row r="378" spans="1:11" x14ac:dyDescent="0.25">
      <c r="A378" s="227">
        <v>377</v>
      </c>
      <c r="B378" s="207" t="s">
        <v>407</v>
      </c>
      <c r="C378" s="207" t="s">
        <v>680</v>
      </c>
      <c r="D378" s="207" t="s">
        <v>695</v>
      </c>
      <c r="E378" s="208" t="b">
        <v>0</v>
      </c>
      <c r="F378" s="206" t="s">
        <v>880</v>
      </c>
      <c r="G378" s="205" t="s">
        <v>1012</v>
      </c>
      <c r="H378" s="205">
        <v>1</v>
      </c>
      <c r="I378" s="205">
        <v>50</v>
      </c>
      <c r="J378" s="205">
        <v>0</v>
      </c>
      <c r="K378" s="205">
        <v>0</v>
      </c>
    </row>
    <row r="379" spans="1:11" x14ac:dyDescent="0.25">
      <c r="A379" s="227">
        <v>378</v>
      </c>
      <c r="B379" s="207" t="s">
        <v>407</v>
      </c>
      <c r="C379" s="207" t="s">
        <v>680</v>
      </c>
      <c r="D379" s="207" t="s">
        <v>696</v>
      </c>
      <c r="E379" s="208" t="b">
        <v>0</v>
      </c>
      <c r="F379" s="206" t="s">
        <v>880</v>
      </c>
      <c r="G379" s="205" t="s">
        <v>1012</v>
      </c>
      <c r="H379" s="205">
        <v>1</v>
      </c>
      <c r="I379" s="205">
        <v>50</v>
      </c>
      <c r="J379" s="205">
        <v>0</v>
      </c>
      <c r="K379" s="205">
        <v>0</v>
      </c>
    </row>
    <row r="380" spans="1:11" x14ac:dyDescent="0.25">
      <c r="A380" s="227">
        <v>379</v>
      </c>
      <c r="B380" s="207" t="s">
        <v>407</v>
      </c>
      <c r="C380" s="207" t="s">
        <v>680</v>
      </c>
      <c r="D380" s="207" t="s">
        <v>697</v>
      </c>
      <c r="E380" s="208" t="b">
        <v>0</v>
      </c>
      <c r="F380" s="206" t="s">
        <v>880</v>
      </c>
      <c r="G380" s="205" t="s">
        <v>1012</v>
      </c>
      <c r="H380" s="205">
        <v>1</v>
      </c>
      <c r="I380" s="205">
        <v>50</v>
      </c>
      <c r="J380" s="205">
        <v>0</v>
      </c>
      <c r="K380" s="205">
        <v>0</v>
      </c>
    </row>
    <row r="381" spans="1:11" x14ac:dyDescent="0.25">
      <c r="A381" s="227">
        <v>380</v>
      </c>
      <c r="B381" s="207" t="s">
        <v>407</v>
      </c>
      <c r="C381" s="207" t="s">
        <v>680</v>
      </c>
      <c r="D381" s="207" t="s">
        <v>698</v>
      </c>
      <c r="E381" s="208" t="b">
        <v>0</v>
      </c>
      <c r="F381" s="206" t="s">
        <v>880</v>
      </c>
      <c r="G381" s="205" t="s">
        <v>1012</v>
      </c>
      <c r="H381" s="205">
        <v>1</v>
      </c>
      <c r="I381" s="205">
        <v>50</v>
      </c>
      <c r="J381" s="205">
        <v>0</v>
      </c>
      <c r="K381" s="205">
        <v>0</v>
      </c>
    </row>
    <row r="382" spans="1:11" x14ac:dyDescent="0.25">
      <c r="A382" s="227">
        <v>381</v>
      </c>
      <c r="B382" s="207" t="s">
        <v>407</v>
      </c>
      <c r="C382" s="207" t="s">
        <v>680</v>
      </c>
      <c r="D382" s="207" t="s">
        <v>699</v>
      </c>
      <c r="E382" s="208" t="b">
        <v>0</v>
      </c>
      <c r="F382" s="206" t="s">
        <v>880</v>
      </c>
      <c r="G382" s="205" t="s">
        <v>1012</v>
      </c>
      <c r="H382" s="205">
        <v>1</v>
      </c>
      <c r="I382" s="205">
        <v>50</v>
      </c>
      <c r="J382" s="205">
        <v>0</v>
      </c>
      <c r="K382" s="205">
        <v>0</v>
      </c>
    </row>
    <row r="383" spans="1:11" x14ac:dyDescent="0.25">
      <c r="A383" s="227">
        <v>382</v>
      </c>
      <c r="B383" s="207" t="s">
        <v>407</v>
      </c>
      <c r="C383" s="207" t="s">
        <v>680</v>
      </c>
      <c r="D383" s="207" t="s">
        <v>700</v>
      </c>
      <c r="E383" s="208" t="b">
        <v>0</v>
      </c>
      <c r="F383" s="206" t="s">
        <v>880</v>
      </c>
      <c r="G383" s="205" t="s">
        <v>1012</v>
      </c>
      <c r="H383" s="205">
        <v>1</v>
      </c>
      <c r="I383" s="205">
        <v>50</v>
      </c>
      <c r="J383" s="205">
        <v>0</v>
      </c>
      <c r="K383" s="205">
        <v>0</v>
      </c>
    </row>
    <row r="384" spans="1:11" x14ac:dyDescent="0.25">
      <c r="A384" s="227">
        <v>383</v>
      </c>
      <c r="B384" s="207" t="s">
        <v>407</v>
      </c>
      <c r="C384" s="207" t="s">
        <v>680</v>
      </c>
      <c r="D384" s="207" t="s">
        <v>701</v>
      </c>
      <c r="E384" s="244" t="str">
        <f>IF(pr_wd4Exudate="","Null", pr_wd4Exudate)</f>
        <v>Null</v>
      </c>
      <c r="F384" s="206" t="s">
        <v>880</v>
      </c>
      <c r="G384" s="205" t="s">
        <v>1012</v>
      </c>
      <c r="H384" s="205">
        <v>1</v>
      </c>
      <c r="I384" s="205">
        <v>50</v>
      </c>
      <c r="J384" s="205">
        <v>0</v>
      </c>
      <c r="K384" s="205">
        <v>0</v>
      </c>
    </row>
    <row r="385" spans="1:11" x14ac:dyDescent="0.25">
      <c r="A385" s="227">
        <v>384</v>
      </c>
      <c r="B385" s="207" t="s">
        <v>407</v>
      </c>
      <c r="C385" s="207" t="s">
        <v>681</v>
      </c>
      <c r="D385" s="207" t="s">
        <v>710</v>
      </c>
      <c r="E385" s="208" t="b">
        <v>0</v>
      </c>
      <c r="F385" s="206" t="s">
        <v>880</v>
      </c>
      <c r="G385" s="205" t="s">
        <v>1012</v>
      </c>
      <c r="H385" s="205">
        <v>1</v>
      </c>
      <c r="I385" s="205">
        <v>50</v>
      </c>
      <c r="J385" s="205">
        <v>0</v>
      </c>
      <c r="K385" s="205">
        <v>0</v>
      </c>
    </row>
    <row r="386" spans="1:11" x14ac:dyDescent="0.25">
      <c r="A386" s="227">
        <v>385</v>
      </c>
      <c r="B386" s="207" t="s">
        <v>407</v>
      </c>
      <c r="C386" s="207" t="s">
        <v>681</v>
      </c>
      <c r="D386" s="207" t="s">
        <v>711</v>
      </c>
      <c r="E386" s="208" t="b">
        <v>0</v>
      </c>
      <c r="F386" s="206" t="s">
        <v>880</v>
      </c>
      <c r="G386" s="205" t="s">
        <v>1012</v>
      </c>
      <c r="H386" s="205">
        <v>1</v>
      </c>
      <c r="I386" s="205">
        <v>50</v>
      </c>
      <c r="J386" s="205">
        <v>0</v>
      </c>
      <c r="K386" s="205">
        <v>0</v>
      </c>
    </row>
    <row r="387" spans="1:11" x14ac:dyDescent="0.25">
      <c r="A387" s="227">
        <v>386</v>
      </c>
      <c r="B387" s="207" t="s">
        <v>407</v>
      </c>
      <c r="C387" s="207" t="s">
        <v>681</v>
      </c>
      <c r="D387" s="207" t="s">
        <v>712</v>
      </c>
      <c r="E387" s="208" t="b">
        <v>0</v>
      </c>
      <c r="F387" s="206" t="s">
        <v>880</v>
      </c>
      <c r="G387" s="205" t="s">
        <v>1012</v>
      </c>
      <c r="H387" s="205">
        <v>1</v>
      </c>
      <c r="I387" s="205">
        <v>50</v>
      </c>
      <c r="J387" s="205">
        <v>0</v>
      </c>
      <c r="K387" s="205">
        <v>0</v>
      </c>
    </row>
    <row r="388" spans="1:11" x14ac:dyDescent="0.25">
      <c r="A388" s="227">
        <v>387</v>
      </c>
      <c r="B388" s="207" t="s">
        <v>407</v>
      </c>
      <c r="C388" s="207" t="s">
        <v>681</v>
      </c>
      <c r="D388" s="207" t="s">
        <v>713</v>
      </c>
      <c r="E388" s="208" t="b">
        <v>0</v>
      </c>
      <c r="F388" s="206" t="s">
        <v>880</v>
      </c>
      <c r="G388" s="205" t="s">
        <v>1012</v>
      </c>
      <c r="H388" s="205">
        <v>1</v>
      </c>
      <c r="I388" s="205">
        <v>50</v>
      </c>
      <c r="J388" s="205">
        <v>0</v>
      </c>
      <c r="K388" s="205">
        <v>0</v>
      </c>
    </row>
    <row r="389" spans="1:11" x14ac:dyDescent="0.25">
      <c r="A389" s="227">
        <v>388</v>
      </c>
      <c r="B389" s="207" t="s">
        <v>407</v>
      </c>
      <c r="C389" s="207" t="s">
        <v>681</v>
      </c>
      <c r="D389" s="207" t="s">
        <v>714</v>
      </c>
      <c r="E389" s="208" t="b">
        <v>0</v>
      </c>
      <c r="F389" s="206" t="s">
        <v>880</v>
      </c>
      <c r="G389" s="205" t="s">
        <v>1012</v>
      </c>
      <c r="H389" s="205">
        <v>1</v>
      </c>
      <c r="I389" s="205">
        <v>50</v>
      </c>
      <c r="J389" s="205">
        <v>0</v>
      </c>
      <c r="K389" s="205">
        <v>0</v>
      </c>
    </row>
    <row r="390" spans="1:11" x14ac:dyDescent="0.25">
      <c r="A390" s="227">
        <v>389</v>
      </c>
      <c r="B390" s="207" t="s">
        <v>407</v>
      </c>
      <c r="C390" s="207" t="s">
        <v>681</v>
      </c>
      <c r="D390" s="207" t="s">
        <v>715</v>
      </c>
      <c r="E390" s="208" t="b">
        <v>0</v>
      </c>
      <c r="F390" s="206" t="s">
        <v>880</v>
      </c>
      <c r="G390" s="205" t="s">
        <v>1012</v>
      </c>
      <c r="H390" s="205">
        <v>1</v>
      </c>
      <c r="I390" s="205">
        <v>50</v>
      </c>
      <c r="J390" s="205">
        <v>0</v>
      </c>
      <c r="K390" s="205">
        <v>0</v>
      </c>
    </row>
    <row r="391" spans="1:11" x14ac:dyDescent="0.25">
      <c r="A391" s="227">
        <v>390</v>
      </c>
      <c r="B391" s="207" t="s">
        <v>407</v>
      </c>
      <c r="C391" s="207" t="s">
        <v>681</v>
      </c>
      <c r="D391" s="207" t="s">
        <v>716</v>
      </c>
      <c r="E391" s="208" t="b">
        <v>0</v>
      </c>
      <c r="F391" s="206" t="s">
        <v>880</v>
      </c>
      <c r="G391" s="205" t="s">
        <v>1012</v>
      </c>
      <c r="H391" s="205">
        <v>1</v>
      </c>
      <c r="I391" s="205">
        <v>50</v>
      </c>
      <c r="J391" s="205">
        <v>0</v>
      </c>
      <c r="K391" s="205">
        <v>0</v>
      </c>
    </row>
    <row r="392" spans="1:11" x14ac:dyDescent="0.25">
      <c r="A392" s="227">
        <v>391</v>
      </c>
      <c r="B392" s="207" t="s">
        <v>407</v>
      </c>
      <c r="C392" s="207" t="s">
        <v>681</v>
      </c>
      <c r="D392" s="207" t="s">
        <v>717</v>
      </c>
      <c r="E392" s="244" t="str">
        <f>IF(pr_wd5Exudate="","Null", pr_wd5Exudate)</f>
        <v>Null</v>
      </c>
      <c r="F392" s="206" t="s">
        <v>880</v>
      </c>
      <c r="G392" s="205" t="s">
        <v>1012</v>
      </c>
      <c r="H392" s="205">
        <v>1</v>
      </c>
      <c r="I392" s="205">
        <v>50</v>
      </c>
      <c r="J392" s="205">
        <v>0</v>
      </c>
      <c r="K392" s="205">
        <v>0</v>
      </c>
    </row>
    <row r="393" spans="1:11" x14ac:dyDescent="0.25">
      <c r="A393" s="227">
        <v>392</v>
      </c>
      <c r="B393" s="207" t="s">
        <v>407</v>
      </c>
      <c r="C393" s="207" t="s">
        <v>682</v>
      </c>
      <c r="D393" s="207" t="s">
        <v>726</v>
      </c>
      <c r="E393" s="208" t="b">
        <v>0</v>
      </c>
      <c r="F393" s="206" t="s">
        <v>880</v>
      </c>
      <c r="G393" s="205" t="s">
        <v>1012</v>
      </c>
      <c r="H393" s="205">
        <v>1</v>
      </c>
      <c r="I393" s="205">
        <v>50</v>
      </c>
      <c r="J393" s="205">
        <v>0</v>
      </c>
      <c r="K393" s="205">
        <v>0</v>
      </c>
    </row>
    <row r="394" spans="1:11" x14ac:dyDescent="0.25">
      <c r="A394" s="227">
        <v>393</v>
      </c>
      <c r="B394" s="207" t="s">
        <v>407</v>
      </c>
      <c r="C394" s="207" t="s">
        <v>682</v>
      </c>
      <c r="D394" s="207" t="s">
        <v>727</v>
      </c>
      <c r="E394" s="208" t="b">
        <v>0</v>
      </c>
      <c r="F394" s="206" t="s">
        <v>880</v>
      </c>
      <c r="G394" s="205" t="s">
        <v>1012</v>
      </c>
      <c r="H394" s="205">
        <v>1</v>
      </c>
      <c r="I394" s="205">
        <v>50</v>
      </c>
      <c r="J394" s="205">
        <v>0</v>
      </c>
      <c r="K394" s="205">
        <v>0</v>
      </c>
    </row>
    <row r="395" spans="1:11" x14ac:dyDescent="0.25">
      <c r="A395" s="227">
        <v>394</v>
      </c>
      <c r="B395" s="207" t="s">
        <v>407</v>
      </c>
      <c r="C395" s="207" t="s">
        <v>682</v>
      </c>
      <c r="D395" s="207" t="s">
        <v>728</v>
      </c>
      <c r="E395" s="208" t="b">
        <v>0</v>
      </c>
      <c r="F395" s="206" t="s">
        <v>880</v>
      </c>
      <c r="G395" s="205" t="s">
        <v>1012</v>
      </c>
      <c r="H395" s="205">
        <v>1</v>
      </c>
      <c r="I395" s="205">
        <v>50</v>
      </c>
      <c r="J395" s="205">
        <v>0</v>
      </c>
      <c r="K395" s="205">
        <v>0</v>
      </c>
    </row>
    <row r="396" spans="1:11" x14ac:dyDescent="0.25">
      <c r="A396" s="227">
        <v>395</v>
      </c>
      <c r="B396" s="207" t="s">
        <v>407</v>
      </c>
      <c r="C396" s="207" t="s">
        <v>682</v>
      </c>
      <c r="D396" s="207" t="s">
        <v>729</v>
      </c>
      <c r="E396" s="208" t="b">
        <v>0</v>
      </c>
      <c r="F396" s="206" t="s">
        <v>880</v>
      </c>
      <c r="G396" s="205" t="s">
        <v>1012</v>
      </c>
      <c r="H396" s="205">
        <v>1</v>
      </c>
      <c r="I396" s="205">
        <v>50</v>
      </c>
      <c r="J396" s="205">
        <v>0</v>
      </c>
      <c r="K396" s="205">
        <v>0</v>
      </c>
    </row>
    <row r="397" spans="1:11" x14ac:dyDescent="0.25">
      <c r="A397" s="227">
        <v>396</v>
      </c>
      <c r="B397" s="207" t="s">
        <v>407</v>
      </c>
      <c r="C397" s="207" t="s">
        <v>682</v>
      </c>
      <c r="D397" s="207" t="s">
        <v>730</v>
      </c>
      <c r="E397" s="208" t="b">
        <v>0</v>
      </c>
      <c r="F397" s="206" t="s">
        <v>880</v>
      </c>
      <c r="G397" s="205" t="s">
        <v>1012</v>
      </c>
      <c r="H397" s="205">
        <v>1</v>
      </c>
      <c r="I397" s="205">
        <v>50</v>
      </c>
      <c r="J397" s="205">
        <v>0</v>
      </c>
      <c r="K397" s="205">
        <v>0</v>
      </c>
    </row>
    <row r="398" spans="1:11" x14ac:dyDescent="0.25">
      <c r="A398" s="227">
        <v>397</v>
      </c>
      <c r="B398" s="207" t="s">
        <v>407</v>
      </c>
      <c r="C398" s="207" t="s">
        <v>682</v>
      </c>
      <c r="D398" s="207" t="s">
        <v>731</v>
      </c>
      <c r="E398" s="208" t="b">
        <v>0</v>
      </c>
      <c r="F398" s="206" t="s">
        <v>880</v>
      </c>
      <c r="G398" s="205" t="s">
        <v>1012</v>
      </c>
      <c r="H398" s="205">
        <v>1</v>
      </c>
      <c r="I398" s="205">
        <v>50</v>
      </c>
      <c r="J398" s="205">
        <v>0</v>
      </c>
      <c r="K398" s="205">
        <v>0</v>
      </c>
    </row>
    <row r="399" spans="1:11" x14ac:dyDescent="0.25">
      <c r="A399" s="227">
        <v>398</v>
      </c>
      <c r="B399" s="207" t="s">
        <v>407</v>
      </c>
      <c r="C399" s="207" t="s">
        <v>682</v>
      </c>
      <c r="D399" s="207" t="s">
        <v>732</v>
      </c>
      <c r="E399" s="208" t="b">
        <v>0</v>
      </c>
      <c r="F399" s="206" t="s">
        <v>880</v>
      </c>
      <c r="G399" s="205" t="s">
        <v>1012</v>
      </c>
      <c r="H399" s="205">
        <v>1</v>
      </c>
      <c r="I399" s="205">
        <v>50</v>
      </c>
      <c r="J399" s="205">
        <v>0</v>
      </c>
      <c r="K399" s="205">
        <v>0</v>
      </c>
    </row>
    <row r="400" spans="1:11" x14ac:dyDescent="0.25">
      <c r="A400" s="227">
        <v>399</v>
      </c>
      <c r="B400" s="207" t="s">
        <v>407</v>
      </c>
      <c r="C400" s="207" t="s">
        <v>682</v>
      </c>
      <c r="D400" s="207" t="s">
        <v>733</v>
      </c>
      <c r="E400" s="244" t="str">
        <f>IF(pr_wd6Exudate="","Null", pr_wd6Exudate)</f>
        <v>Null</v>
      </c>
      <c r="F400" s="206" t="s">
        <v>880</v>
      </c>
      <c r="G400" s="205" t="s">
        <v>1012</v>
      </c>
      <c r="H400" s="205">
        <v>1</v>
      </c>
      <c r="I400" s="205">
        <v>50</v>
      </c>
      <c r="J400" s="205">
        <v>0</v>
      </c>
      <c r="K400" s="205">
        <v>0</v>
      </c>
    </row>
    <row r="401" spans="1:11" x14ac:dyDescent="0.25">
      <c r="A401" s="227">
        <v>400</v>
      </c>
      <c r="B401" s="207" t="s">
        <v>407</v>
      </c>
      <c r="C401" s="207" t="s">
        <v>683</v>
      </c>
      <c r="D401" s="207" t="s">
        <v>734</v>
      </c>
      <c r="E401" s="222" t="str">
        <f>IF(pr_wd7Moisture="","Null", pr_wd7Moisture)</f>
        <v>Null</v>
      </c>
      <c r="F401" s="206" t="s">
        <v>880</v>
      </c>
      <c r="G401" s="205" t="s">
        <v>1012</v>
      </c>
      <c r="H401" s="205">
        <v>1</v>
      </c>
      <c r="I401" s="205">
        <v>50</v>
      </c>
      <c r="J401" s="205">
        <v>0</v>
      </c>
      <c r="K401" s="205">
        <v>0</v>
      </c>
    </row>
    <row r="402" spans="1:11" x14ac:dyDescent="0.25">
      <c r="A402" s="227">
        <v>401</v>
      </c>
      <c r="B402" s="207" t="s">
        <v>407</v>
      </c>
      <c r="C402" s="207" t="s">
        <v>684</v>
      </c>
      <c r="D402" s="207" t="s">
        <v>750</v>
      </c>
      <c r="E402" s="222" t="str">
        <f>IF(pr_wd8Moisture="","Null", pr_wd8Moisture)</f>
        <v>Null</v>
      </c>
      <c r="F402" s="206" t="s">
        <v>880</v>
      </c>
      <c r="G402" s="205" t="s">
        <v>1012</v>
      </c>
      <c r="H402" s="205">
        <v>1</v>
      </c>
      <c r="I402" s="205">
        <v>50</v>
      </c>
      <c r="J402" s="205">
        <v>0</v>
      </c>
      <c r="K402" s="205">
        <v>0</v>
      </c>
    </row>
    <row r="403" spans="1:11" x14ac:dyDescent="0.25">
      <c r="A403" s="227">
        <v>402</v>
      </c>
      <c r="B403" s="207" t="s">
        <v>407</v>
      </c>
      <c r="C403" s="207" t="s">
        <v>685</v>
      </c>
      <c r="D403" s="207" t="s">
        <v>766</v>
      </c>
      <c r="E403" s="222" t="str">
        <f>IF(pr_wd9Moisture="","Null", pr_wd9Moisture)</f>
        <v>Null</v>
      </c>
      <c r="F403" s="206" t="s">
        <v>880</v>
      </c>
      <c r="G403" s="205" t="s">
        <v>1012</v>
      </c>
      <c r="H403" s="205">
        <v>1</v>
      </c>
      <c r="I403" s="205">
        <v>50</v>
      </c>
      <c r="J403" s="205">
        <v>0</v>
      </c>
      <c r="K403" s="205">
        <v>0</v>
      </c>
    </row>
    <row r="404" spans="1:11" x14ac:dyDescent="0.25">
      <c r="A404" s="227">
        <v>403</v>
      </c>
      <c r="B404" s="207" t="s">
        <v>407</v>
      </c>
      <c r="C404" s="207" t="s">
        <v>683</v>
      </c>
      <c r="D404" s="207" t="s">
        <v>735</v>
      </c>
      <c r="E404" s="222" t="str">
        <f>IF(pr_wd7Edges="","Null", pr_wd7Edges)</f>
        <v>Null</v>
      </c>
      <c r="F404" s="206" t="s">
        <v>880</v>
      </c>
      <c r="G404" s="205" t="s">
        <v>1012</v>
      </c>
      <c r="H404" s="205">
        <v>1</v>
      </c>
      <c r="I404" s="205">
        <v>50</v>
      </c>
      <c r="J404" s="205">
        <v>0</v>
      </c>
      <c r="K404" s="205">
        <v>0</v>
      </c>
    </row>
    <row r="405" spans="1:11" x14ac:dyDescent="0.25">
      <c r="A405" s="227">
        <v>404</v>
      </c>
      <c r="B405" s="207" t="s">
        <v>407</v>
      </c>
      <c r="C405" s="207" t="s">
        <v>684</v>
      </c>
      <c r="D405" s="207" t="s">
        <v>751</v>
      </c>
      <c r="E405" s="222" t="str">
        <f>IF(pr_wd8Edges="","Null", pr_wd8Edges)</f>
        <v>Null</v>
      </c>
      <c r="F405" s="206" t="s">
        <v>880</v>
      </c>
      <c r="G405" s="205" t="s">
        <v>1012</v>
      </c>
      <c r="H405" s="205">
        <v>1</v>
      </c>
      <c r="I405" s="205">
        <v>50</v>
      </c>
      <c r="J405" s="205">
        <v>0</v>
      </c>
      <c r="K405" s="205">
        <v>0</v>
      </c>
    </row>
    <row r="406" spans="1:11" x14ac:dyDescent="0.25">
      <c r="A406" s="227">
        <v>405</v>
      </c>
      <c r="B406" s="207" t="s">
        <v>407</v>
      </c>
      <c r="C406" s="207" t="s">
        <v>685</v>
      </c>
      <c r="D406" s="207" t="s">
        <v>767</v>
      </c>
      <c r="E406" s="222" t="str">
        <f>IF(pr_wd9Edges="","Null", pr_wd9Edges)</f>
        <v>Null</v>
      </c>
      <c r="F406" s="206" t="s">
        <v>880</v>
      </c>
      <c r="G406" s="205" t="s">
        <v>1012</v>
      </c>
      <c r="H406" s="205">
        <v>1</v>
      </c>
      <c r="I406" s="205">
        <v>50</v>
      </c>
      <c r="J406" s="205">
        <v>0</v>
      </c>
      <c r="K406" s="205">
        <v>0</v>
      </c>
    </row>
    <row r="407" spans="1:11" x14ac:dyDescent="0.25">
      <c r="A407" s="227">
        <v>406</v>
      </c>
      <c r="B407" s="207" t="s">
        <v>407</v>
      </c>
      <c r="C407" s="207" t="s">
        <v>683</v>
      </c>
      <c r="D407" s="207" t="s">
        <v>736</v>
      </c>
      <c r="E407" s="222" t="str">
        <f>IF(pr_wd7Len="","Null", pr_wd7Len)</f>
        <v>Null</v>
      </c>
      <c r="F407" s="206" t="s">
        <v>880</v>
      </c>
      <c r="G407" s="205" t="s">
        <v>1012</v>
      </c>
      <c r="H407" s="205">
        <v>1</v>
      </c>
      <c r="I407" s="205">
        <v>50</v>
      </c>
      <c r="J407" s="205">
        <v>0</v>
      </c>
      <c r="K407" s="205">
        <v>0</v>
      </c>
    </row>
    <row r="408" spans="1:11" x14ac:dyDescent="0.25">
      <c r="A408" s="227">
        <v>407</v>
      </c>
      <c r="B408" s="207" t="s">
        <v>407</v>
      </c>
      <c r="C408" s="207" t="s">
        <v>684</v>
      </c>
      <c r="D408" s="207" t="s">
        <v>752</v>
      </c>
      <c r="E408" s="222" t="str">
        <f>IF(pr_wd8Len="","Null", pr_wd8Len)</f>
        <v>Null</v>
      </c>
      <c r="F408" s="206" t="s">
        <v>880</v>
      </c>
      <c r="G408" s="205" t="s">
        <v>1012</v>
      </c>
      <c r="H408" s="205">
        <v>1</v>
      </c>
      <c r="I408" s="205">
        <v>50</v>
      </c>
      <c r="J408" s="205">
        <v>0</v>
      </c>
      <c r="K408" s="205">
        <v>0</v>
      </c>
    </row>
    <row r="409" spans="1:11" x14ac:dyDescent="0.25">
      <c r="A409" s="227">
        <v>408</v>
      </c>
      <c r="B409" s="207" t="s">
        <v>407</v>
      </c>
      <c r="C409" s="207" t="s">
        <v>685</v>
      </c>
      <c r="D409" s="207" t="s">
        <v>768</v>
      </c>
      <c r="E409" s="222" t="str">
        <f>IF(pr_wd9Len="","Null", pr_wd9Len)</f>
        <v>Null</v>
      </c>
      <c r="F409" s="206" t="s">
        <v>880</v>
      </c>
      <c r="G409" s="205" t="s">
        <v>1012</v>
      </c>
      <c r="H409" s="205">
        <v>1</v>
      </c>
      <c r="I409" s="205">
        <v>50</v>
      </c>
      <c r="J409" s="205">
        <v>0</v>
      </c>
      <c r="K409" s="205">
        <v>0</v>
      </c>
    </row>
    <row r="410" spans="1:11" x14ac:dyDescent="0.25">
      <c r="A410" s="227">
        <v>409</v>
      </c>
      <c r="B410" s="207" t="s">
        <v>407</v>
      </c>
      <c r="C410" s="207" t="s">
        <v>683</v>
      </c>
      <c r="D410" s="207" t="s">
        <v>737</v>
      </c>
      <c r="E410" s="222" t="str">
        <f>IF(pr_wd7Wid="","Null", pr_wd7Wid)</f>
        <v>Null</v>
      </c>
      <c r="F410" s="206" t="s">
        <v>880</v>
      </c>
      <c r="G410" s="205" t="s">
        <v>1012</v>
      </c>
      <c r="H410" s="205">
        <v>1</v>
      </c>
      <c r="I410" s="205">
        <v>50</v>
      </c>
      <c r="J410" s="205">
        <v>0</v>
      </c>
      <c r="K410" s="205">
        <v>0</v>
      </c>
    </row>
    <row r="411" spans="1:11" x14ac:dyDescent="0.25">
      <c r="A411" s="227">
        <v>410</v>
      </c>
      <c r="B411" s="207" t="s">
        <v>407</v>
      </c>
      <c r="C411" s="207" t="s">
        <v>684</v>
      </c>
      <c r="D411" s="207" t="s">
        <v>753</v>
      </c>
      <c r="E411" s="222" t="str">
        <f>IF(pr_wd8Wid="","Null", pr_wd8Wid)</f>
        <v>Null</v>
      </c>
      <c r="F411" s="206" t="s">
        <v>880</v>
      </c>
      <c r="G411" s="205" t="s">
        <v>1012</v>
      </c>
      <c r="H411" s="205">
        <v>1</v>
      </c>
      <c r="I411" s="205">
        <v>50</v>
      </c>
      <c r="J411" s="205">
        <v>0</v>
      </c>
      <c r="K411" s="205">
        <v>0</v>
      </c>
    </row>
    <row r="412" spans="1:11" x14ac:dyDescent="0.25">
      <c r="A412" s="227">
        <v>411</v>
      </c>
      <c r="B412" s="207" t="s">
        <v>407</v>
      </c>
      <c r="C412" s="207" t="s">
        <v>685</v>
      </c>
      <c r="D412" s="207" t="s">
        <v>769</v>
      </c>
      <c r="E412" s="222" t="str">
        <f>IF(pr_wd9Wid="","Null", pr_wd9Wid)</f>
        <v>Null</v>
      </c>
      <c r="F412" s="206" t="s">
        <v>880</v>
      </c>
      <c r="G412" s="205" t="s">
        <v>1012</v>
      </c>
      <c r="H412" s="205">
        <v>1</v>
      </c>
      <c r="I412" s="205">
        <v>50</v>
      </c>
      <c r="J412" s="205">
        <v>0</v>
      </c>
      <c r="K412" s="205">
        <v>0</v>
      </c>
    </row>
    <row r="413" spans="1:11" x14ac:dyDescent="0.25">
      <c r="A413" s="227">
        <v>412</v>
      </c>
      <c r="B413" s="207" t="s">
        <v>407</v>
      </c>
      <c r="C413" s="207" t="s">
        <v>683</v>
      </c>
      <c r="D413" s="207" t="s">
        <v>738</v>
      </c>
      <c r="E413" s="222" t="str">
        <f>IF(pr_wd7Dep="","Null", pr_wd7Dep)</f>
        <v>Null</v>
      </c>
      <c r="F413" s="206" t="s">
        <v>880</v>
      </c>
      <c r="G413" s="205" t="s">
        <v>1012</v>
      </c>
      <c r="H413" s="205">
        <v>1</v>
      </c>
      <c r="I413" s="205">
        <v>50</v>
      </c>
      <c r="J413" s="205">
        <v>0</v>
      </c>
      <c r="K413" s="205">
        <v>0</v>
      </c>
    </row>
    <row r="414" spans="1:11" x14ac:dyDescent="0.25">
      <c r="A414" s="227">
        <v>413</v>
      </c>
      <c r="B414" s="207" t="s">
        <v>407</v>
      </c>
      <c r="C414" s="207" t="s">
        <v>684</v>
      </c>
      <c r="D414" s="207" t="s">
        <v>754</v>
      </c>
      <c r="E414" s="222" t="str">
        <f>IF(pr_wd8Dep="","Null", pr_wd8Dep)</f>
        <v>Null</v>
      </c>
      <c r="F414" s="206" t="s">
        <v>880</v>
      </c>
      <c r="G414" s="205" t="s">
        <v>1012</v>
      </c>
      <c r="H414" s="205">
        <v>1</v>
      </c>
      <c r="I414" s="205">
        <v>50</v>
      </c>
      <c r="J414" s="205">
        <v>0</v>
      </c>
      <c r="K414" s="205">
        <v>0</v>
      </c>
    </row>
    <row r="415" spans="1:11" x14ac:dyDescent="0.25">
      <c r="A415" s="227">
        <v>414</v>
      </c>
      <c r="B415" s="207" t="s">
        <v>407</v>
      </c>
      <c r="C415" s="207" t="s">
        <v>685</v>
      </c>
      <c r="D415" s="207" t="s">
        <v>770</v>
      </c>
      <c r="E415" s="222" t="str">
        <f>IF(pr_wd9Dep="","Null", pr_wd9Dep)</f>
        <v>Null</v>
      </c>
      <c r="F415" s="206" t="s">
        <v>880</v>
      </c>
      <c r="G415" s="205" t="s">
        <v>1012</v>
      </c>
      <c r="H415" s="205">
        <v>1</v>
      </c>
      <c r="I415" s="205">
        <v>50</v>
      </c>
      <c r="J415" s="205">
        <v>0</v>
      </c>
      <c r="K415" s="205">
        <v>0</v>
      </c>
    </row>
    <row r="416" spans="1:11" x14ac:dyDescent="0.25">
      <c r="A416" s="227">
        <v>415</v>
      </c>
      <c r="B416" s="207" t="s">
        <v>407</v>
      </c>
      <c r="C416" s="207" t="s">
        <v>683</v>
      </c>
      <c r="D416" s="207" t="s">
        <v>739</v>
      </c>
      <c r="E416" s="222" t="str">
        <f>IF(pr_wd7Tunn="","Null", pr_wd7Tunn)</f>
        <v>Null</v>
      </c>
      <c r="F416" s="206" t="s">
        <v>880</v>
      </c>
      <c r="G416" s="205" t="s">
        <v>1012</v>
      </c>
      <c r="H416" s="205">
        <v>1</v>
      </c>
      <c r="I416" s="205">
        <v>50</v>
      </c>
      <c r="J416" s="205">
        <v>0</v>
      </c>
      <c r="K416" s="205">
        <v>0</v>
      </c>
    </row>
    <row r="417" spans="1:11" x14ac:dyDescent="0.25">
      <c r="A417" s="227">
        <v>416</v>
      </c>
      <c r="B417" s="207" t="s">
        <v>407</v>
      </c>
      <c r="C417" s="207" t="s">
        <v>684</v>
      </c>
      <c r="D417" s="207" t="s">
        <v>755</v>
      </c>
      <c r="E417" s="222" t="str">
        <f>IF(pr_wd8Tunn="","Null", pr_wd8Tunn)</f>
        <v>Null</v>
      </c>
      <c r="F417" s="206" t="s">
        <v>880</v>
      </c>
      <c r="G417" s="205" t="s">
        <v>1012</v>
      </c>
      <c r="H417" s="205">
        <v>1</v>
      </c>
      <c r="I417" s="205">
        <v>50</v>
      </c>
      <c r="J417" s="205">
        <v>0</v>
      </c>
      <c r="K417" s="205">
        <v>0</v>
      </c>
    </row>
    <row r="418" spans="1:11" x14ac:dyDescent="0.25">
      <c r="A418" s="227">
        <v>417</v>
      </c>
      <c r="B418" s="207" t="s">
        <v>407</v>
      </c>
      <c r="C418" s="207" t="s">
        <v>685</v>
      </c>
      <c r="D418" s="207" t="s">
        <v>771</v>
      </c>
      <c r="E418" s="222" t="str">
        <f>IF(pr_wd9Tunn="","Null", pr_wd9Tunn)</f>
        <v>Null</v>
      </c>
      <c r="F418" s="206" t="s">
        <v>880</v>
      </c>
      <c r="G418" s="205" t="s">
        <v>1012</v>
      </c>
      <c r="H418" s="205">
        <v>1</v>
      </c>
      <c r="I418" s="205">
        <v>50</v>
      </c>
      <c r="J418" s="205">
        <v>0</v>
      </c>
      <c r="K418" s="205">
        <v>0</v>
      </c>
    </row>
    <row r="419" spans="1:11" x14ac:dyDescent="0.25">
      <c r="A419" s="227">
        <v>418</v>
      </c>
      <c r="B419" s="207" t="s">
        <v>407</v>
      </c>
      <c r="C419" s="207" t="s">
        <v>683</v>
      </c>
      <c r="D419" s="207" t="s">
        <v>740</v>
      </c>
      <c r="E419" s="222" t="str">
        <f>IF(pr_wd7Undermin="","Null", pr_wd7Undermin)</f>
        <v>Null</v>
      </c>
      <c r="F419" s="206" t="s">
        <v>880</v>
      </c>
      <c r="G419" s="205" t="s">
        <v>1012</v>
      </c>
      <c r="H419" s="205">
        <v>1</v>
      </c>
      <c r="I419" s="205">
        <v>50</v>
      </c>
      <c r="J419" s="205">
        <v>0</v>
      </c>
      <c r="K419" s="205">
        <v>0</v>
      </c>
    </row>
    <row r="420" spans="1:11" x14ac:dyDescent="0.25">
      <c r="A420" s="227">
        <v>419</v>
      </c>
      <c r="B420" s="207" t="s">
        <v>407</v>
      </c>
      <c r="C420" s="207" t="s">
        <v>684</v>
      </c>
      <c r="D420" s="207" t="s">
        <v>756</v>
      </c>
      <c r="E420" s="222" t="str">
        <f>IF(pr_wd8Undermin="","Null", pr_wd8Undermin)</f>
        <v>Null</v>
      </c>
      <c r="F420" s="206" t="s">
        <v>880</v>
      </c>
      <c r="G420" s="205" t="s">
        <v>1012</v>
      </c>
      <c r="H420" s="205">
        <v>1</v>
      </c>
      <c r="I420" s="205">
        <v>50</v>
      </c>
      <c r="J420" s="205">
        <v>0</v>
      </c>
      <c r="K420" s="205">
        <v>0</v>
      </c>
    </row>
    <row r="421" spans="1:11" x14ac:dyDescent="0.25">
      <c r="A421" s="227">
        <v>420</v>
      </c>
      <c r="B421" s="207" t="s">
        <v>407</v>
      </c>
      <c r="C421" s="207" t="s">
        <v>685</v>
      </c>
      <c r="D421" s="207" t="s">
        <v>772</v>
      </c>
      <c r="E421" s="222" t="str">
        <f>IF(pr_wd9Undermin="","Null", pr_wd9Undermin)</f>
        <v>Null</v>
      </c>
      <c r="F421" s="206" t="s">
        <v>880</v>
      </c>
      <c r="G421" s="205" t="s">
        <v>1012</v>
      </c>
      <c r="H421" s="205">
        <v>1</v>
      </c>
      <c r="I421" s="205">
        <v>50</v>
      </c>
      <c r="J421" s="205">
        <v>0</v>
      </c>
      <c r="K421" s="205">
        <v>0</v>
      </c>
    </row>
    <row r="422" spans="1:11" x14ac:dyDescent="0.25">
      <c r="A422" s="227">
        <v>421</v>
      </c>
      <c r="B422" s="207" t="s">
        <v>407</v>
      </c>
      <c r="C422" s="207" t="s">
        <v>683</v>
      </c>
      <c r="D422" s="207" t="s">
        <v>741</v>
      </c>
      <c r="E422" s="244" t="str">
        <f>IF(pr_wd7DebrideDate="","Null", pr_wd7DebrideDate)</f>
        <v>Null</v>
      </c>
      <c r="F422" s="206" t="s">
        <v>880</v>
      </c>
      <c r="G422" s="205" t="s">
        <v>1010</v>
      </c>
      <c r="H422" s="205">
        <v>1</v>
      </c>
      <c r="I422" s="205">
        <v>10</v>
      </c>
      <c r="J422" s="205">
        <v>0</v>
      </c>
      <c r="K422" s="205">
        <v>0</v>
      </c>
    </row>
    <row r="423" spans="1:11" x14ac:dyDescent="0.25">
      <c r="A423" s="227">
        <v>422</v>
      </c>
      <c r="B423" s="207" t="s">
        <v>407</v>
      </c>
      <c r="C423" s="207" t="s">
        <v>684</v>
      </c>
      <c r="D423" s="207" t="s">
        <v>757</v>
      </c>
      <c r="E423" s="244" t="str">
        <f>IF(pr_wd8DebrideDate="","Null", pr_wd8DebrideDate)</f>
        <v>Null</v>
      </c>
      <c r="F423" s="206" t="s">
        <v>880</v>
      </c>
      <c r="G423" s="205" t="s">
        <v>1010</v>
      </c>
      <c r="H423" s="205">
        <v>1</v>
      </c>
      <c r="I423" s="205">
        <v>10</v>
      </c>
      <c r="J423" s="205">
        <v>0</v>
      </c>
      <c r="K423" s="205">
        <v>0</v>
      </c>
    </row>
    <row r="424" spans="1:11" x14ac:dyDescent="0.25">
      <c r="A424" s="227">
        <v>423</v>
      </c>
      <c r="B424" s="207" t="s">
        <v>407</v>
      </c>
      <c r="C424" s="207" t="s">
        <v>685</v>
      </c>
      <c r="D424" s="207" t="s">
        <v>773</v>
      </c>
      <c r="E424" s="244" t="str">
        <f>IF(pr_wd9DebrideDate="","Null", pr_wd9DebrideDate)</f>
        <v>Null</v>
      </c>
      <c r="F424" s="206" t="s">
        <v>880</v>
      </c>
      <c r="G424" s="205" t="s">
        <v>1010</v>
      </c>
      <c r="H424" s="205">
        <v>1</v>
      </c>
      <c r="I424" s="205">
        <v>10</v>
      </c>
      <c r="J424" s="205">
        <v>0</v>
      </c>
      <c r="K424" s="205">
        <v>0</v>
      </c>
    </row>
    <row r="425" spans="1:11" x14ac:dyDescent="0.25">
      <c r="A425" s="227">
        <v>424</v>
      </c>
      <c r="B425" s="207" t="s">
        <v>407</v>
      </c>
      <c r="C425" s="207" t="s">
        <v>683</v>
      </c>
      <c r="D425" s="207" t="s">
        <v>742</v>
      </c>
      <c r="E425" s="208" t="b">
        <v>0</v>
      </c>
      <c r="F425" s="206" t="s">
        <v>880</v>
      </c>
      <c r="G425" s="205" t="s">
        <v>1012</v>
      </c>
      <c r="H425" s="205">
        <v>1</v>
      </c>
      <c r="I425" s="205">
        <v>50</v>
      </c>
      <c r="J425" s="205">
        <v>0</v>
      </c>
      <c r="K425" s="205">
        <v>0</v>
      </c>
    </row>
    <row r="426" spans="1:11" x14ac:dyDescent="0.25">
      <c r="A426" s="227">
        <v>425</v>
      </c>
      <c r="B426" s="207" t="s">
        <v>407</v>
      </c>
      <c r="C426" s="207" t="s">
        <v>683</v>
      </c>
      <c r="D426" s="207" t="s">
        <v>743</v>
      </c>
      <c r="E426" s="208" t="b">
        <v>0</v>
      </c>
      <c r="F426" s="206" t="s">
        <v>880</v>
      </c>
      <c r="G426" s="205" t="s">
        <v>1012</v>
      </c>
      <c r="H426" s="205">
        <v>1</v>
      </c>
      <c r="I426" s="205">
        <v>50</v>
      </c>
      <c r="J426" s="205">
        <v>0</v>
      </c>
      <c r="K426" s="205">
        <v>0</v>
      </c>
    </row>
    <row r="427" spans="1:11" x14ac:dyDescent="0.25">
      <c r="A427" s="227">
        <v>426</v>
      </c>
      <c r="B427" s="207" t="s">
        <v>407</v>
      </c>
      <c r="C427" s="207" t="s">
        <v>683</v>
      </c>
      <c r="D427" s="207" t="s">
        <v>744</v>
      </c>
      <c r="E427" s="208" t="b">
        <v>0</v>
      </c>
      <c r="F427" s="206" t="s">
        <v>880</v>
      </c>
      <c r="G427" s="205" t="s">
        <v>1012</v>
      </c>
      <c r="H427" s="205">
        <v>1</v>
      </c>
      <c r="I427" s="205">
        <v>50</v>
      </c>
      <c r="J427" s="205">
        <v>0</v>
      </c>
      <c r="K427" s="205">
        <v>0</v>
      </c>
    </row>
    <row r="428" spans="1:11" x14ac:dyDescent="0.25">
      <c r="A428" s="227">
        <v>427</v>
      </c>
      <c r="B428" s="207" t="s">
        <v>407</v>
      </c>
      <c r="C428" s="207" t="s">
        <v>683</v>
      </c>
      <c r="D428" s="207" t="s">
        <v>745</v>
      </c>
      <c r="E428" s="208" t="b">
        <v>0</v>
      </c>
      <c r="F428" s="206" t="s">
        <v>880</v>
      </c>
      <c r="G428" s="205" t="s">
        <v>1012</v>
      </c>
      <c r="H428" s="205">
        <v>1</v>
      </c>
      <c r="I428" s="205">
        <v>50</v>
      </c>
      <c r="J428" s="205">
        <v>0</v>
      </c>
      <c r="K428" s="205">
        <v>0</v>
      </c>
    </row>
    <row r="429" spans="1:11" x14ac:dyDescent="0.25">
      <c r="A429" s="227">
        <v>428</v>
      </c>
      <c r="B429" s="207" t="s">
        <v>407</v>
      </c>
      <c r="C429" s="207" t="s">
        <v>683</v>
      </c>
      <c r="D429" s="207" t="s">
        <v>746</v>
      </c>
      <c r="E429" s="208" t="b">
        <v>0</v>
      </c>
      <c r="F429" s="206" t="s">
        <v>880</v>
      </c>
      <c r="G429" s="205" t="s">
        <v>1012</v>
      </c>
      <c r="H429" s="205">
        <v>1</v>
      </c>
      <c r="I429" s="205">
        <v>50</v>
      </c>
      <c r="J429" s="205">
        <v>0</v>
      </c>
      <c r="K429" s="205">
        <v>0</v>
      </c>
    </row>
    <row r="430" spans="1:11" x14ac:dyDescent="0.25">
      <c r="A430" s="227">
        <v>429</v>
      </c>
      <c r="B430" s="207" t="s">
        <v>407</v>
      </c>
      <c r="C430" s="207" t="s">
        <v>683</v>
      </c>
      <c r="D430" s="207" t="s">
        <v>747</v>
      </c>
      <c r="E430" s="208" t="b">
        <v>0</v>
      </c>
      <c r="F430" s="206" t="s">
        <v>880</v>
      </c>
      <c r="G430" s="205" t="s">
        <v>1012</v>
      </c>
      <c r="H430" s="205">
        <v>1</v>
      </c>
      <c r="I430" s="205">
        <v>50</v>
      </c>
      <c r="J430" s="205">
        <v>0</v>
      </c>
      <c r="K430" s="205">
        <v>0</v>
      </c>
    </row>
    <row r="431" spans="1:11" x14ac:dyDescent="0.25">
      <c r="A431" s="227">
        <v>430</v>
      </c>
      <c r="B431" s="207" t="s">
        <v>407</v>
      </c>
      <c r="C431" s="207" t="s">
        <v>683</v>
      </c>
      <c r="D431" s="207" t="s">
        <v>748</v>
      </c>
      <c r="E431" s="208" t="b">
        <v>0</v>
      </c>
      <c r="F431" s="206" t="s">
        <v>880</v>
      </c>
      <c r="G431" s="205" t="s">
        <v>1012</v>
      </c>
      <c r="H431" s="205">
        <v>1</v>
      </c>
      <c r="I431" s="205">
        <v>50</v>
      </c>
      <c r="J431" s="205">
        <v>0</v>
      </c>
      <c r="K431" s="205">
        <v>0</v>
      </c>
    </row>
    <row r="432" spans="1:11" x14ac:dyDescent="0.25">
      <c r="A432" s="227">
        <v>431</v>
      </c>
      <c r="B432" s="207" t="s">
        <v>407</v>
      </c>
      <c r="C432" s="207" t="s">
        <v>683</v>
      </c>
      <c r="D432" s="207" t="s">
        <v>749</v>
      </c>
      <c r="E432" s="244" t="str">
        <f>IF(pr_wd7Exudate="","Null", pr_wd7Exudate)</f>
        <v>Null</v>
      </c>
      <c r="F432" s="206" t="s">
        <v>880</v>
      </c>
      <c r="G432" s="205" t="s">
        <v>1012</v>
      </c>
      <c r="H432" s="205">
        <v>1</v>
      </c>
      <c r="I432" s="205">
        <v>50</v>
      </c>
      <c r="J432" s="205">
        <v>0</v>
      </c>
      <c r="K432" s="205">
        <v>0</v>
      </c>
    </row>
    <row r="433" spans="1:11" x14ac:dyDescent="0.25">
      <c r="A433" s="227">
        <v>432</v>
      </c>
      <c r="B433" s="207" t="s">
        <v>407</v>
      </c>
      <c r="C433" s="207" t="s">
        <v>684</v>
      </c>
      <c r="D433" s="207" t="s">
        <v>758</v>
      </c>
      <c r="E433" s="208" t="b">
        <v>0</v>
      </c>
      <c r="F433" s="206" t="s">
        <v>880</v>
      </c>
      <c r="G433" s="205" t="s">
        <v>1012</v>
      </c>
      <c r="H433" s="205">
        <v>1</v>
      </c>
      <c r="I433" s="205">
        <v>50</v>
      </c>
      <c r="J433" s="205">
        <v>0</v>
      </c>
      <c r="K433" s="205">
        <v>0</v>
      </c>
    </row>
    <row r="434" spans="1:11" x14ac:dyDescent="0.25">
      <c r="A434" s="227">
        <v>433</v>
      </c>
      <c r="B434" s="207" t="s">
        <v>407</v>
      </c>
      <c r="C434" s="207" t="s">
        <v>684</v>
      </c>
      <c r="D434" s="207" t="s">
        <v>759</v>
      </c>
      <c r="E434" s="208" t="b">
        <v>0</v>
      </c>
      <c r="F434" s="206" t="s">
        <v>880</v>
      </c>
      <c r="G434" s="205" t="s">
        <v>1012</v>
      </c>
      <c r="H434" s="205">
        <v>1</v>
      </c>
      <c r="I434" s="205">
        <v>50</v>
      </c>
      <c r="J434" s="205">
        <v>0</v>
      </c>
      <c r="K434" s="205">
        <v>0</v>
      </c>
    </row>
    <row r="435" spans="1:11" x14ac:dyDescent="0.25">
      <c r="A435" s="227">
        <v>434</v>
      </c>
      <c r="B435" s="207" t="s">
        <v>407</v>
      </c>
      <c r="C435" s="207" t="s">
        <v>684</v>
      </c>
      <c r="D435" s="207" t="s">
        <v>760</v>
      </c>
      <c r="E435" s="208" t="b">
        <v>0</v>
      </c>
      <c r="F435" s="206" t="s">
        <v>880</v>
      </c>
      <c r="G435" s="205" t="s">
        <v>1012</v>
      </c>
      <c r="H435" s="205">
        <v>1</v>
      </c>
      <c r="I435" s="205">
        <v>50</v>
      </c>
      <c r="J435" s="205">
        <v>0</v>
      </c>
      <c r="K435" s="205">
        <v>0</v>
      </c>
    </row>
    <row r="436" spans="1:11" x14ac:dyDescent="0.25">
      <c r="A436" s="227">
        <v>435</v>
      </c>
      <c r="B436" s="207" t="s">
        <v>407</v>
      </c>
      <c r="C436" s="207" t="s">
        <v>684</v>
      </c>
      <c r="D436" s="207" t="s">
        <v>761</v>
      </c>
      <c r="E436" s="208" t="b">
        <v>0</v>
      </c>
      <c r="F436" s="206" t="s">
        <v>880</v>
      </c>
      <c r="G436" s="205" t="s">
        <v>1012</v>
      </c>
      <c r="H436" s="205">
        <v>1</v>
      </c>
      <c r="I436" s="205">
        <v>50</v>
      </c>
      <c r="J436" s="205">
        <v>0</v>
      </c>
      <c r="K436" s="205">
        <v>0</v>
      </c>
    </row>
    <row r="437" spans="1:11" x14ac:dyDescent="0.25">
      <c r="A437" s="227">
        <v>436</v>
      </c>
      <c r="B437" s="207" t="s">
        <v>407</v>
      </c>
      <c r="C437" s="207" t="s">
        <v>684</v>
      </c>
      <c r="D437" s="207" t="s">
        <v>762</v>
      </c>
      <c r="E437" s="208" t="b">
        <v>0</v>
      </c>
      <c r="F437" s="206" t="s">
        <v>880</v>
      </c>
      <c r="G437" s="205" t="s">
        <v>1012</v>
      </c>
      <c r="H437" s="205">
        <v>1</v>
      </c>
      <c r="I437" s="205">
        <v>50</v>
      </c>
      <c r="J437" s="205">
        <v>0</v>
      </c>
      <c r="K437" s="205">
        <v>0</v>
      </c>
    </row>
    <row r="438" spans="1:11" x14ac:dyDescent="0.25">
      <c r="A438" s="227">
        <v>437</v>
      </c>
      <c r="B438" s="207" t="s">
        <v>407</v>
      </c>
      <c r="C438" s="207" t="s">
        <v>684</v>
      </c>
      <c r="D438" s="207" t="s">
        <v>763</v>
      </c>
      <c r="E438" s="208" t="b">
        <v>0</v>
      </c>
      <c r="F438" s="206" t="s">
        <v>880</v>
      </c>
      <c r="G438" s="205" t="s">
        <v>1012</v>
      </c>
      <c r="H438" s="205">
        <v>1</v>
      </c>
      <c r="I438" s="205">
        <v>50</v>
      </c>
      <c r="J438" s="205">
        <v>0</v>
      </c>
      <c r="K438" s="205">
        <v>0</v>
      </c>
    </row>
    <row r="439" spans="1:11" x14ac:dyDescent="0.25">
      <c r="A439" s="227">
        <v>438</v>
      </c>
      <c r="B439" s="207" t="s">
        <v>407</v>
      </c>
      <c r="C439" s="207" t="s">
        <v>684</v>
      </c>
      <c r="D439" s="207" t="s">
        <v>764</v>
      </c>
      <c r="E439" s="208" t="b">
        <v>0</v>
      </c>
      <c r="F439" s="206" t="s">
        <v>880</v>
      </c>
      <c r="G439" s="205" t="s">
        <v>1012</v>
      </c>
      <c r="H439" s="205">
        <v>1</v>
      </c>
      <c r="I439" s="205">
        <v>50</v>
      </c>
      <c r="J439" s="205">
        <v>0</v>
      </c>
      <c r="K439" s="205">
        <v>0</v>
      </c>
    </row>
    <row r="440" spans="1:11" x14ac:dyDescent="0.25">
      <c r="A440" s="227">
        <v>439</v>
      </c>
      <c r="B440" s="207" t="s">
        <v>407</v>
      </c>
      <c r="C440" s="207" t="s">
        <v>684</v>
      </c>
      <c r="D440" s="207" t="s">
        <v>765</v>
      </c>
      <c r="E440" s="244" t="str">
        <f>IF(pr_wd8Exudate="","Null", pr_wd8Exudate)</f>
        <v>Null</v>
      </c>
      <c r="F440" s="206" t="s">
        <v>880</v>
      </c>
      <c r="G440" s="205" t="s">
        <v>1012</v>
      </c>
      <c r="H440" s="205">
        <v>1</v>
      </c>
      <c r="I440" s="205">
        <v>50</v>
      </c>
      <c r="J440" s="205">
        <v>0</v>
      </c>
      <c r="K440" s="205">
        <v>0</v>
      </c>
    </row>
    <row r="441" spans="1:11" x14ac:dyDescent="0.25">
      <c r="A441" s="227">
        <v>440</v>
      </c>
      <c r="B441" s="207" t="s">
        <v>407</v>
      </c>
      <c r="C441" s="207" t="s">
        <v>685</v>
      </c>
      <c r="D441" s="207" t="s">
        <v>774</v>
      </c>
      <c r="E441" s="208" t="b">
        <v>0</v>
      </c>
      <c r="F441" s="206" t="s">
        <v>880</v>
      </c>
      <c r="G441" s="205" t="s">
        <v>1012</v>
      </c>
      <c r="H441" s="205">
        <v>1</v>
      </c>
      <c r="I441" s="205">
        <v>50</v>
      </c>
      <c r="J441" s="205">
        <v>0</v>
      </c>
      <c r="K441" s="205">
        <v>0</v>
      </c>
    </row>
    <row r="442" spans="1:11" x14ac:dyDescent="0.25">
      <c r="A442" s="227">
        <v>441</v>
      </c>
      <c r="B442" s="207" t="s">
        <v>407</v>
      </c>
      <c r="C442" s="207" t="s">
        <v>685</v>
      </c>
      <c r="D442" s="207" t="s">
        <v>775</v>
      </c>
      <c r="E442" s="208" t="b">
        <v>0</v>
      </c>
      <c r="F442" s="206" t="s">
        <v>880</v>
      </c>
      <c r="G442" s="205" t="s">
        <v>1012</v>
      </c>
      <c r="H442" s="205">
        <v>1</v>
      </c>
      <c r="I442" s="205">
        <v>50</v>
      </c>
      <c r="J442" s="205">
        <v>0</v>
      </c>
      <c r="K442" s="205">
        <v>0</v>
      </c>
    </row>
    <row r="443" spans="1:11" x14ac:dyDescent="0.25">
      <c r="A443" s="227">
        <v>442</v>
      </c>
      <c r="B443" s="207" t="s">
        <v>407</v>
      </c>
      <c r="C443" s="207" t="s">
        <v>685</v>
      </c>
      <c r="D443" s="207" t="s">
        <v>776</v>
      </c>
      <c r="E443" s="208" t="b">
        <v>0</v>
      </c>
      <c r="F443" s="206" t="s">
        <v>880</v>
      </c>
      <c r="G443" s="205" t="s">
        <v>1012</v>
      </c>
      <c r="H443" s="205">
        <v>1</v>
      </c>
      <c r="I443" s="205">
        <v>50</v>
      </c>
      <c r="J443" s="205">
        <v>0</v>
      </c>
      <c r="K443" s="205">
        <v>0</v>
      </c>
    </row>
    <row r="444" spans="1:11" x14ac:dyDescent="0.25">
      <c r="A444" s="227">
        <v>443</v>
      </c>
      <c r="B444" s="207" t="s">
        <v>407</v>
      </c>
      <c r="C444" s="207" t="s">
        <v>685</v>
      </c>
      <c r="D444" s="207" t="s">
        <v>777</v>
      </c>
      <c r="E444" s="208" t="b">
        <v>0</v>
      </c>
      <c r="F444" s="206" t="s">
        <v>880</v>
      </c>
      <c r="G444" s="205" t="s">
        <v>1012</v>
      </c>
      <c r="H444" s="205">
        <v>1</v>
      </c>
      <c r="I444" s="205">
        <v>50</v>
      </c>
      <c r="J444" s="205">
        <v>0</v>
      </c>
      <c r="K444" s="205">
        <v>0</v>
      </c>
    </row>
    <row r="445" spans="1:11" x14ac:dyDescent="0.25">
      <c r="A445" s="227">
        <v>444</v>
      </c>
      <c r="B445" s="207" t="s">
        <v>407</v>
      </c>
      <c r="C445" s="207" t="s">
        <v>685</v>
      </c>
      <c r="D445" s="207" t="s">
        <v>778</v>
      </c>
      <c r="E445" s="208" t="b">
        <v>0</v>
      </c>
      <c r="F445" s="206" t="s">
        <v>880</v>
      </c>
      <c r="G445" s="205" t="s">
        <v>1012</v>
      </c>
      <c r="H445" s="205">
        <v>1</v>
      </c>
      <c r="I445" s="205">
        <v>50</v>
      </c>
      <c r="J445" s="205">
        <v>0</v>
      </c>
      <c r="K445" s="205">
        <v>0</v>
      </c>
    </row>
    <row r="446" spans="1:11" x14ac:dyDescent="0.25">
      <c r="A446" s="227">
        <v>445</v>
      </c>
      <c r="B446" s="207" t="s">
        <v>407</v>
      </c>
      <c r="C446" s="207" t="s">
        <v>685</v>
      </c>
      <c r="D446" s="207" t="s">
        <v>779</v>
      </c>
      <c r="E446" s="208" t="b">
        <v>0</v>
      </c>
      <c r="F446" s="206" t="s">
        <v>880</v>
      </c>
      <c r="G446" s="205" t="s">
        <v>1012</v>
      </c>
      <c r="H446" s="205">
        <v>1</v>
      </c>
      <c r="I446" s="205">
        <v>50</v>
      </c>
      <c r="J446" s="205">
        <v>0</v>
      </c>
      <c r="K446" s="205">
        <v>0</v>
      </c>
    </row>
    <row r="447" spans="1:11" x14ac:dyDescent="0.25">
      <c r="A447" s="227">
        <v>446</v>
      </c>
      <c r="B447" s="207" t="s">
        <v>407</v>
      </c>
      <c r="C447" s="207" t="s">
        <v>685</v>
      </c>
      <c r="D447" s="207" t="s">
        <v>780</v>
      </c>
      <c r="E447" s="208" t="b">
        <v>0</v>
      </c>
      <c r="F447" s="206" t="s">
        <v>880</v>
      </c>
      <c r="G447" s="205" t="s">
        <v>1012</v>
      </c>
      <c r="H447" s="205">
        <v>1</v>
      </c>
      <c r="I447" s="205">
        <v>50</v>
      </c>
      <c r="J447" s="205">
        <v>0</v>
      </c>
      <c r="K447" s="205">
        <v>0</v>
      </c>
    </row>
    <row r="448" spans="1:11" x14ac:dyDescent="0.25">
      <c r="A448" s="227">
        <v>447</v>
      </c>
      <c r="B448" s="207" t="s">
        <v>407</v>
      </c>
      <c r="C448" s="207" t="s">
        <v>685</v>
      </c>
      <c r="D448" s="207" t="s">
        <v>781</v>
      </c>
      <c r="E448" s="244" t="str">
        <f>IF(pr_wd9Exudate="","Null", pr_wd9Exudate)</f>
        <v>Null</v>
      </c>
      <c r="F448" s="206" t="s">
        <v>880</v>
      </c>
      <c r="G448" s="205" t="s">
        <v>1012</v>
      </c>
      <c r="H448" s="205">
        <v>1</v>
      </c>
      <c r="I448" s="205">
        <v>50</v>
      </c>
      <c r="J448" s="205">
        <v>0</v>
      </c>
      <c r="K448" s="205">
        <v>0</v>
      </c>
    </row>
    <row r="449" spans="1:11" x14ac:dyDescent="0.25">
      <c r="A449" s="227">
        <v>448</v>
      </c>
      <c r="B449" s="233" t="s">
        <v>792</v>
      </c>
      <c r="C449" s="207" t="s">
        <v>168</v>
      </c>
      <c r="D449" s="207" t="s">
        <v>902</v>
      </c>
      <c r="E449" s="245" t="str">
        <f>IF(pnp_name1="","Null", pnp_name1)</f>
        <v>Null</v>
      </c>
      <c r="F449" s="206" t="s">
        <v>881</v>
      </c>
      <c r="G449" s="205" t="s">
        <v>1012</v>
      </c>
      <c r="H449" s="205">
        <v>1</v>
      </c>
      <c r="I449" s="205">
        <v>50</v>
      </c>
      <c r="J449" s="205">
        <v>0</v>
      </c>
      <c r="K449" s="205">
        <v>0</v>
      </c>
    </row>
    <row r="450" spans="1:11" x14ac:dyDescent="0.25">
      <c r="A450" s="227">
        <v>449</v>
      </c>
      <c r="B450" s="207" t="s">
        <v>792</v>
      </c>
      <c r="C450" s="207" t="s">
        <v>853</v>
      </c>
      <c r="D450" s="207" t="s">
        <v>793</v>
      </c>
      <c r="E450" s="244" t="str">
        <f>IF(VisitsInvoice!B20="","Null", VisitsInvoice!B20)</f>
        <v>Null</v>
      </c>
      <c r="F450" s="206" t="s">
        <v>881</v>
      </c>
      <c r="G450" s="205" t="s">
        <v>1010</v>
      </c>
      <c r="H450" s="205">
        <v>1</v>
      </c>
      <c r="I450" s="205">
        <v>10</v>
      </c>
      <c r="J450" s="205">
        <v>0</v>
      </c>
      <c r="K450" s="205">
        <v>0</v>
      </c>
    </row>
    <row r="451" spans="1:11" x14ac:dyDescent="0.25">
      <c r="A451" s="227">
        <v>450</v>
      </c>
      <c r="B451" s="206" t="s">
        <v>792</v>
      </c>
      <c r="C451" s="206" t="s">
        <v>853</v>
      </c>
      <c r="D451" s="206" t="s">
        <v>794</v>
      </c>
      <c r="E451" s="244" t="str">
        <f>IF(VisitsInvoice!C20="","Null", VisitsInvoice!C20)</f>
        <v>Null</v>
      </c>
      <c r="F451" s="206" t="s">
        <v>881</v>
      </c>
      <c r="G451" s="205" t="s">
        <v>1012</v>
      </c>
      <c r="H451" s="205">
        <v>1</v>
      </c>
      <c r="I451" s="205">
        <v>50</v>
      </c>
      <c r="J451" s="205">
        <v>0</v>
      </c>
      <c r="K451" s="205">
        <v>0</v>
      </c>
    </row>
    <row r="452" spans="1:11" x14ac:dyDescent="0.25">
      <c r="A452" s="227">
        <v>451</v>
      </c>
      <c r="B452" s="206" t="s">
        <v>792</v>
      </c>
      <c r="C452" s="206" t="s">
        <v>853</v>
      </c>
      <c r="D452" s="206" t="s">
        <v>795</v>
      </c>
      <c r="E452" s="244" t="str">
        <f>IF(VisitsInvoice!E20="","Null", VisitsInvoice!E20)</f>
        <v>Null</v>
      </c>
      <c r="F452" s="206" t="s">
        <v>881</v>
      </c>
      <c r="G452" s="205" t="s">
        <v>1012</v>
      </c>
      <c r="H452" s="205">
        <v>1</v>
      </c>
      <c r="I452" s="205">
        <v>50</v>
      </c>
      <c r="J452" s="205">
        <v>0</v>
      </c>
      <c r="K452" s="205">
        <v>0</v>
      </c>
    </row>
    <row r="453" spans="1:11" x14ac:dyDescent="0.25">
      <c r="A453" s="227">
        <v>452</v>
      </c>
      <c r="B453" s="207" t="s">
        <v>792</v>
      </c>
      <c r="C453" s="207" t="s">
        <v>853</v>
      </c>
      <c r="D453" s="207" t="s">
        <v>796</v>
      </c>
      <c r="E453" s="246" t="str">
        <f>IF(VisitsInvoice!H20="","Null", VisitsInvoice!H20)</f>
        <v>Null</v>
      </c>
      <c r="F453" s="206" t="s">
        <v>881</v>
      </c>
      <c r="G453" s="205" t="s">
        <v>1011</v>
      </c>
      <c r="H453" s="205">
        <v>1</v>
      </c>
      <c r="I453" s="205">
        <v>50</v>
      </c>
      <c r="J453" s="205">
        <v>0</v>
      </c>
      <c r="K453" s="205">
        <v>0</v>
      </c>
    </row>
    <row r="454" spans="1:11" x14ac:dyDescent="0.25">
      <c r="A454" s="227">
        <v>453</v>
      </c>
      <c r="B454" s="207" t="s">
        <v>792</v>
      </c>
      <c r="C454" s="207" t="s">
        <v>854</v>
      </c>
      <c r="D454" s="207" t="s">
        <v>797</v>
      </c>
      <c r="E454" s="244" t="str">
        <f>IF(VisitsInvoice!B21="","Null", VisitsInvoice!B21)</f>
        <v>Null</v>
      </c>
      <c r="F454" s="206" t="s">
        <v>881</v>
      </c>
      <c r="G454" s="205" t="s">
        <v>1010</v>
      </c>
      <c r="H454" s="205">
        <v>1</v>
      </c>
      <c r="I454" s="205">
        <v>10</v>
      </c>
      <c r="J454" s="205">
        <v>0</v>
      </c>
      <c r="K454" s="205">
        <v>0</v>
      </c>
    </row>
    <row r="455" spans="1:11" x14ac:dyDescent="0.25">
      <c r="A455" s="227">
        <v>454</v>
      </c>
      <c r="B455" s="207" t="s">
        <v>792</v>
      </c>
      <c r="C455" s="207" t="s">
        <v>854</v>
      </c>
      <c r="D455" s="207" t="s">
        <v>798</v>
      </c>
      <c r="E455" s="244" t="str">
        <f>IF(VisitsInvoice!C21="","Null", VisitsInvoice!C21)</f>
        <v>Null</v>
      </c>
      <c r="F455" s="206" t="s">
        <v>881</v>
      </c>
      <c r="G455" s="205" t="s">
        <v>1012</v>
      </c>
      <c r="H455" s="205">
        <v>1</v>
      </c>
      <c r="I455" s="205">
        <v>50</v>
      </c>
      <c r="J455" s="205">
        <v>0</v>
      </c>
      <c r="K455" s="205">
        <v>0</v>
      </c>
    </row>
    <row r="456" spans="1:11" x14ac:dyDescent="0.25">
      <c r="A456" s="227">
        <v>455</v>
      </c>
      <c r="B456" s="207" t="s">
        <v>792</v>
      </c>
      <c r="C456" s="207" t="s">
        <v>854</v>
      </c>
      <c r="D456" s="207" t="s">
        <v>799</v>
      </c>
      <c r="E456" s="244" t="str">
        <f>IF(VisitsInvoice!E21="","Null", VisitsInvoice!E21)</f>
        <v>Null</v>
      </c>
      <c r="F456" s="206" t="s">
        <v>881</v>
      </c>
      <c r="G456" s="205" t="s">
        <v>1012</v>
      </c>
      <c r="H456" s="205">
        <v>1</v>
      </c>
      <c r="I456" s="205">
        <v>50</v>
      </c>
      <c r="J456" s="205">
        <v>0</v>
      </c>
      <c r="K456" s="205">
        <v>0</v>
      </c>
    </row>
    <row r="457" spans="1:11" x14ac:dyDescent="0.25">
      <c r="A457" s="227">
        <v>456</v>
      </c>
      <c r="B457" s="207" t="s">
        <v>792</v>
      </c>
      <c r="C457" s="207" t="s">
        <v>854</v>
      </c>
      <c r="D457" s="207" t="s">
        <v>800</v>
      </c>
      <c r="E457" s="246" t="str">
        <f>IF(VisitsInvoice!H21="","Null", VisitsInvoice!H21)</f>
        <v>Null</v>
      </c>
      <c r="F457" s="206" t="s">
        <v>881</v>
      </c>
      <c r="G457" s="205" t="s">
        <v>1011</v>
      </c>
      <c r="H457" s="205">
        <v>1</v>
      </c>
      <c r="I457" s="205">
        <v>50</v>
      </c>
      <c r="J457" s="205">
        <v>0</v>
      </c>
      <c r="K457" s="205">
        <v>0</v>
      </c>
    </row>
    <row r="458" spans="1:11" x14ac:dyDescent="0.25">
      <c r="A458" s="227">
        <v>457</v>
      </c>
      <c r="B458" s="207" t="s">
        <v>792</v>
      </c>
      <c r="C458" s="207" t="s">
        <v>855</v>
      </c>
      <c r="D458" s="207" t="s">
        <v>801</v>
      </c>
      <c r="E458" s="244" t="str">
        <f>IF(VisitsInvoice!B22="","Null", VisitsInvoice!B22)</f>
        <v>Null</v>
      </c>
      <c r="F458" s="206" t="s">
        <v>881</v>
      </c>
      <c r="G458" s="205" t="s">
        <v>1010</v>
      </c>
      <c r="H458" s="205">
        <v>1</v>
      </c>
      <c r="I458" s="205">
        <v>10</v>
      </c>
      <c r="J458" s="205">
        <v>0</v>
      </c>
      <c r="K458" s="205">
        <v>0</v>
      </c>
    </row>
    <row r="459" spans="1:11" x14ac:dyDescent="0.25">
      <c r="A459" s="227">
        <v>458</v>
      </c>
      <c r="B459" s="207" t="s">
        <v>792</v>
      </c>
      <c r="C459" s="207" t="s">
        <v>855</v>
      </c>
      <c r="D459" s="207" t="s">
        <v>802</v>
      </c>
      <c r="E459" s="244" t="str">
        <f>IF(VisitsInvoice!C22="","Null", VisitsInvoice!C22)</f>
        <v>Null</v>
      </c>
      <c r="F459" s="206" t="s">
        <v>881</v>
      </c>
      <c r="G459" s="205" t="s">
        <v>1012</v>
      </c>
      <c r="H459" s="205">
        <v>1</v>
      </c>
      <c r="I459" s="205">
        <v>50</v>
      </c>
      <c r="J459" s="205">
        <v>0</v>
      </c>
      <c r="K459" s="205">
        <v>0</v>
      </c>
    </row>
    <row r="460" spans="1:11" x14ac:dyDescent="0.25">
      <c r="A460" s="227">
        <v>459</v>
      </c>
      <c r="B460" s="207" t="s">
        <v>792</v>
      </c>
      <c r="C460" s="207" t="s">
        <v>855</v>
      </c>
      <c r="D460" s="207" t="s">
        <v>803</v>
      </c>
      <c r="E460" s="244" t="str">
        <f>IF(VisitsInvoice!E22="","Null", VisitsInvoice!E22)</f>
        <v>Null</v>
      </c>
      <c r="F460" s="206" t="s">
        <v>881</v>
      </c>
      <c r="G460" s="205" t="s">
        <v>1012</v>
      </c>
      <c r="H460" s="205">
        <v>1</v>
      </c>
      <c r="I460" s="205">
        <v>50</v>
      </c>
      <c r="J460" s="205">
        <v>0</v>
      </c>
      <c r="K460" s="205">
        <v>0</v>
      </c>
    </row>
    <row r="461" spans="1:11" x14ac:dyDescent="0.25">
      <c r="A461" s="227">
        <v>460</v>
      </c>
      <c r="B461" s="207" t="s">
        <v>792</v>
      </c>
      <c r="C461" s="207" t="s">
        <v>855</v>
      </c>
      <c r="D461" s="207" t="s">
        <v>804</v>
      </c>
      <c r="E461" s="246" t="str">
        <f>IF(VisitsInvoice!H22="","Null", VisitsInvoice!H22)</f>
        <v>Null</v>
      </c>
      <c r="F461" s="206" t="s">
        <v>881</v>
      </c>
      <c r="G461" s="205" t="s">
        <v>1011</v>
      </c>
      <c r="H461" s="205">
        <v>1</v>
      </c>
      <c r="I461" s="205">
        <v>50</v>
      </c>
      <c r="J461" s="205">
        <v>0</v>
      </c>
      <c r="K461" s="205">
        <v>0</v>
      </c>
    </row>
    <row r="462" spans="1:11" x14ac:dyDescent="0.25">
      <c r="A462" s="227">
        <v>461</v>
      </c>
      <c r="B462" s="207" t="s">
        <v>792</v>
      </c>
      <c r="C462" s="207" t="s">
        <v>856</v>
      </c>
      <c r="D462" s="207" t="s">
        <v>805</v>
      </c>
      <c r="E462" s="244" t="str">
        <f>IF(VisitsInvoice!B23="","Null", VisitsInvoice!B23)</f>
        <v>Null</v>
      </c>
      <c r="F462" s="206" t="s">
        <v>881</v>
      </c>
      <c r="G462" s="205" t="s">
        <v>1010</v>
      </c>
      <c r="H462" s="205">
        <v>1</v>
      </c>
      <c r="I462" s="205">
        <v>10</v>
      </c>
      <c r="J462" s="205">
        <v>0</v>
      </c>
      <c r="K462" s="205">
        <v>0</v>
      </c>
    </row>
    <row r="463" spans="1:11" x14ac:dyDescent="0.25">
      <c r="A463" s="227">
        <v>462</v>
      </c>
      <c r="B463" s="207" t="s">
        <v>792</v>
      </c>
      <c r="C463" s="207" t="s">
        <v>856</v>
      </c>
      <c r="D463" s="207" t="s">
        <v>806</v>
      </c>
      <c r="E463" s="244" t="str">
        <f>IF(VisitsInvoice!C23="","Null", VisitsInvoice!C23)</f>
        <v>Null</v>
      </c>
      <c r="F463" s="206" t="s">
        <v>881</v>
      </c>
      <c r="G463" s="205" t="s">
        <v>1012</v>
      </c>
      <c r="H463" s="205">
        <v>1</v>
      </c>
      <c r="I463" s="205">
        <v>50</v>
      </c>
      <c r="J463" s="205">
        <v>0</v>
      </c>
      <c r="K463" s="205">
        <v>0</v>
      </c>
    </row>
    <row r="464" spans="1:11" x14ac:dyDescent="0.25">
      <c r="A464" s="227">
        <v>463</v>
      </c>
      <c r="B464" s="207" t="s">
        <v>792</v>
      </c>
      <c r="C464" s="207" t="s">
        <v>856</v>
      </c>
      <c r="D464" s="207" t="s">
        <v>807</v>
      </c>
      <c r="E464" s="244" t="str">
        <f>IF(VisitsInvoice!E23="","Null", VisitsInvoice!E23)</f>
        <v>Null</v>
      </c>
      <c r="F464" s="206" t="s">
        <v>881</v>
      </c>
      <c r="G464" s="205" t="s">
        <v>1012</v>
      </c>
      <c r="H464" s="205">
        <v>1</v>
      </c>
      <c r="I464" s="205">
        <v>50</v>
      </c>
      <c r="J464" s="205">
        <v>0</v>
      </c>
      <c r="K464" s="205">
        <v>0</v>
      </c>
    </row>
    <row r="465" spans="1:11" x14ac:dyDescent="0.25">
      <c r="A465" s="227">
        <v>464</v>
      </c>
      <c r="B465" s="207" t="s">
        <v>792</v>
      </c>
      <c r="C465" s="207" t="s">
        <v>856</v>
      </c>
      <c r="D465" s="207" t="s">
        <v>808</v>
      </c>
      <c r="E465" s="246" t="str">
        <f>IF(VisitsInvoice!H23="","Null", VisitsInvoice!H23)</f>
        <v>Null</v>
      </c>
      <c r="F465" s="206" t="s">
        <v>881</v>
      </c>
      <c r="G465" s="205" t="s">
        <v>1011</v>
      </c>
      <c r="H465" s="205">
        <v>1</v>
      </c>
      <c r="I465" s="205">
        <v>50</v>
      </c>
      <c r="J465" s="205">
        <v>0</v>
      </c>
      <c r="K465" s="205">
        <v>0</v>
      </c>
    </row>
    <row r="466" spans="1:11" x14ac:dyDescent="0.25">
      <c r="A466" s="227">
        <v>465</v>
      </c>
      <c r="B466" s="207" t="s">
        <v>792</v>
      </c>
      <c r="C466" s="207" t="s">
        <v>857</v>
      </c>
      <c r="D466" s="207" t="s">
        <v>809</v>
      </c>
      <c r="E466" s="244" t="str">
        <f>IF(VisitsInvoice!B24="","Null", VisitsInvoice!B24)</f>
        <v>Null</v>
      </c>
      <c r="F466" s="206" t="s">
        <v>881</v>
      </c>
      <c r="G466" s="205" t="s">
        <v>1010</v>
      </c>
      <c r="H466" s="205">
        <v>1</v>
      </c>
      <c r="I466" s="205">
        <v>10</v>
      </c>
      <c r="J466" s="205">
        <v>0</v>
      </c>
      <c r="K466" s="205">
        <v>0</v>
      </c>
    </row>
    <row r="467" spans="1:11" x14ac:dyDescent="0.25">
      <c r="A467" s="227">
        <v>466</v>
      </c>
      <c r="B467" s="206" t="s">
        <v>792</v>
      </c>
      <c r="C467" s="206" t="s">
        <v>857</v>
      </c>
      <c r="D467" s="206" t="s">
        <v>810</v>
      </c>
      <c r="E467" s="244" t="str">
        <f>IF(VisitsInvoice!C24="","Null", VisitsInvoice!C24)</f>
        <v>Null</v>
      </c>
      <c r="F467" s="206" t="s">
        <v>881</v>
      </c>
      <c r="G467" s="205" t="s">
        <v>1012</v>
      </c>
      <c r="H467" s="205">
        <v>1</v>
      </c>
      <c r="I467" s="205">
        <v>50</v>
      </c>
      <c r="J467" s="205">
        <v>0</v>
      </c>
      <c r="K467" s="205">
        <v>0</v>
      </c>
    </row>
    <row r="468" spans="1:11" x14ac:dyDescent="0.25">
      <c r="A468" s="227">
        <v>467</v>
      </c>
      <c r="B468" s="206" t="s">
        <v>792</v>
      </c>
      <c r="C468" s="206" t="s">
        <v>857</v>
      </c>
      <c r="D468" s="206" t="s">
        <v>811</v>
      </c>
      <c r="E468" s="244" t="str">
        <f>IF(VisitsInvoice!E24="","Null", VisitsInvoice!E24)</f>
        <v>Null</v>
      </c>
      <c r="F468" s="206" t="s">
        <v>881</v>
      </c>
      <c r="G468" s="205" t="s">
        <v>1012</v>
      </c>
      <c r="H468" s="205">
        <v>1</v>
      </c>
      <c r="I468" s="205">
        <v>50</v>
      </c>
      <c r="J468" s="205">
        <v>0</v>
      </c>
      <c r="K468" s="205">
        <v>0</v>
      </c>
    </row>
    <row r="469" spans="1:11" x14ac:dyDescent="0.25">
      <c r="A469" s="227">
        <v>468</v>
      </c>
      <c r="B469" s="206" t="s">
        <v>792</v>
      </c>
      <c r="C469" s="206" t="s">
        <v>857</v>
      </c>
      <c r="D469" s="206" t="s">
        <v>812</v>
      </c>
      <c r="E469" s="246" t="str">
        <f>IF(VisitsInvoice!H24="","Null", VisitsInvoice!H24)</f>
        <v>Null</v>
      </c>
      <c r="F469" s="206" t="s">
        <v>881</v>
      </c>
      <c r="G469" s="205" t="s">
        <v>1011</v>
      </c>
      <c r="H469" s="205">
        <v>1</v>
      </c>
      <c r="I469" s="205">
        <v>50</v>
      </c>
      <c r="J469" s="205">
        <v>0</v>
      </c>
      <c r="K469" s="205">
        <v>0</v>
      </c>
    </row>
    <row r="470" spans="1:11" x14ac:dyDescent="0.25">
      <c r="A470" s="227">
        <v>469</v>
      </c>
      <c r="B470" s="206" t="s">
        <v>792</v>
      </c>
      <c r="C470" s="206" t="s">
        <v>858</v>
      </c>
      <c r="D470" s="206" t="s">
        <v>813</v>
      </c>
      <c r="E470" s="244" t="str">
        <f>IF(VisitsInvoice!B25="","Null", VisitsInvoice!B25)</f>
        <v>Null</v>
      </c>
      <c r="F470" s="206" t="s">
        <v>881</v>
      </c>
      <c r="G470" s="205" t="s">
        <v>1010</v>
      </c>
      <c r="H470" s="205">
        <v>1</v>
      </c>
      <c r="I470" s="205">
        <v>10</v>
      </c>
      <c r="J470" s="205">
        <v>0</v>
      </c>
      <c r="K470" s="205">
        <v>0</v>
      </c>
    </row>
    <row r="471" spans="1:11" x14ac:dyDescent="0.25">
      <c r="A471" s="227">
        <v>470</v>
      </c>
      <c r="B471" s="206" t="s">
        <v>792</v>
      </c>
      <c r="C471" s="206" t="s">
        <v>858</v>
      </c>
      <c r="D471" s="206" t="s">
        <v>814</v>
      </c>
      <c r="E471" s="244" t="str">
        <f>IF(VisitsInvoice!C25="","Null", VisitsInvoice!C25)</f>
        <v>Null</v>
      </c>
      <c r="F471" s="206" t="s">
        <v>881</v>
      </c>
      <c r="G471" s="205" t="s">
        <v>1012</v>
      </c>
      <c r="H471" s="205">
        <v>1</v>
      </c>
      <c r="I471" s="205">
        <v>50</v>
      </c>
      <c r="J471" s="205">
        <v>0</v>
      </c>
      <c r="K471" s="205">
        <v>0</v>
      </c>
    </row>
    <row r="472" spans="1:11" x14ac:dyDescent="0.25">
      <c r="A472" s="227">
        <v>471</v>
      </c>
      <c r="B472" s="206" t="s">
        <v>792</v>
      </c>
      <c r="C472" s="206" t="s">
        <v>858</v>
      </c>
      <c r="D472" s="206" t="s">
        <v>815</v>
      </c>
      <c r="E472" s="244" t="str">
        <f>IF(VisitsInvoice!E25="","Null", VisitsInvoice!E25)</f>
        <v>Null</v>
      </c>
      <c r="F472" s="206" t="s">
        <v>881</v>
      </c>
      <c r="G472" s="205" t="s">
        <v>1012</v>
      </c>
      <c r="H472" s="205">
        <v>1</v>
      </c>
      <c r="I472" s="205">
        <v>50</v>
      </c>
      <c r="J472" s="205">
        <v>0</v>
      </c>
      <c r="K472" s="205">
        <v>0</v>
      </c>
    </row>
    <row r="473" spans="1:11" x14ac:dyDescent="0.25">
      <c r="A473" s="227">
        <v>472</v>
      </c>
      <c r="B473" s="206" t="s">
        <v>792</v>
      </c>
      <c r="C473" s="206" t="s">
        <v>858</v>
      </c>
      <c r="D473" s="206" t="s">
        <v>816</v>
      </c>
      <c r="E473" s="246" t="str">
        <f>IF(VisitsInvoice!H25="","Null", VisitsInvoice!H25)</f>
        <v>Null</v>
      </c>
      <c r="F473" s="206" t="s">
        <v>881</v>
      </c>
      <c r="G473" s="205" t="s">
        <v>1011</v>
      </c>
      <c r="H473" s="205">
        <v>1</v>
      </c>
      <c r="I473" s="205">
        <v>50</v>
      </c>
      <c r="J473" s="205">
        <v>0</v>
      </c>
      <c r="K473" s="205">
        <v>0</v>
      </c>
    </row>
    <row r="474" spans="1:11" x14ac:dyDescent="0.25">
      <c r="A474" s="227">
        <v>473</v>
      </c>
      <c r="B474" s="206" t="s">
        <v>792</v>
      </c>
      <c r="C474" s="206" t="s">
        <v>859</v>
      </c>
      <c r="D474" s="206" t="s">
        <v>817</v>
      </c>
      <c r="E474" s="244" t="str">
        <f>IF(VisitsInvoice!B26="","Null", VisitsInvoice!B26)</f>
        <v>Null</v>
      </c>
      <c r="F474" s="206" t="s">
        <v>881</v>
      </c>
      <c r="G474" s="205" t="s">
        <v>1010</v>
      </c>
      <c r="H474" s="205">
        <v>1</v>
      </c>
      <c r="I474" s="205">
        <v>10</v>
      </c>
      <c r="J474" s="205">
        <v>0</v>
      </c>
      <c r="K474" s="205">
        <v>0</v>
      </c>
    </row>
    <row r="475" spans="1:11" x14ac:dyDescent="0.25">
      <c r="A475" s="227">
        <v>474</v>
      </c>
      <c r="B475" s="206" t="s">
        <v>792</v>
      </c>
      <c r="C475" s="206" t="s">
        <v>859</v>
      </c>
      <c r="D475" s="206" t="s">
        <v>818</v>
      </c>
      <c r="E475" s="244" t="str">
        <f>IF(VisitsInvoice!C26="","Null", VisitsInvoice!C26)</f>
        <v>Null</v>
      </c>
      <c r="F475" s="206" t="s">
        <v>881</v>
      </c>
      <c r="G475" s="205" t="s">
        <v>1012</v>
      </c>
      <c r="H475" s="205">
        <v>1</v>
      </c>
      <c r="I475" s="205">
        <v>50</v>
      </c>
      <c r="J475" s="205">
        <v>0</v>
      </c>
      <c r="K475" s="205">
        <v>0</v>
      </c>
    </row>
    <row r="476" spans="1:11" x14ac:dyDescent="0.25">
      <c r="A476" s="227">
        <v>475</v>
      </c>
      <c r="B476" s="206" t="s">
        <v>792</v>
      </c>
      <c r="C476" s="206" t="s">
        <v>859</v>
      </c>
      <c r="D476" s="206" t="s">
        <v>819</v>
      </c>
      <c r="E476" s="244" t="str">
        <f>IF(VisitsInvoice!E26="","Null", VisitsInvoice!E26)</f>
        <v>Null</v>
      </c>
      <c r="F476" s="206" t="s">
        <v>881</v>
      </c>
      <c r="G476" s="205" t="s">
        <v>1012</v>
      </c>
      <c r="H476" s="205">
        <v>1</v>
      </c>
      <c r="I476" s="205">
        <v>50</v>
      </c>
      <c r="J476" s="205">
        <v>0</v>
      </c>
      <c r="K476" s="205">
        <v>0</v>
      </c>
    </row>
    <row r="477" spans="1:11" x14ac:dyDescent="0.25">
      <c r="A477" s="227">
        <v>476</v>
      </c>
      <c r="B477" s="206" t="s">
        <v>792</v>
      </c>
      <c r="C477" s="206" t="s">
        <v>859</v>
      </c>
      <c r="D477" s="206" t="s">
        <v>820</v>
      </c>
      <c r="E477" s="246" t="str">
        <f>IF(VisitsInvoice!H26="","Null", VisitsInvoice!H26)</f>
        <v>Null</v>
      </c>
      <c r="F477" s="206" t="s">
        <v>881</v>
      </c>
      <c r="G477" s="205" t="s">
        <v>1011</v>
      </c>
      <c r="H477" s="205">
        <v>1</v>
      </c>
      <c r="I477" s="205">
        <v>50</v>
      </c>
      <c r="J477" s="205">
        <v>0</v>
      </c>
      <c r="K477" s="205">
        <v>0</v>
      </c>
    </row>
    <row r="478" spans="1:11" x14ac:dyDescent="0.25">
      <c r="A478" s="227">
        <v>477</v>
      </c>
      <c r="B478" s="206" t="s">
        <v>792</v>
      </c>
      <c r="C478" s="206" t="s">
        <v>860</v>
      </c>
      <c r="D478" s="206" t="s">
        <v>821</v>
      </c>
      <c r="E478" s="244" t="str">
        <f>IF(VisitsInvoice!B27="","Null", VisitsInvoice!B27)</f>
        <v>Null</v>
      </c>
      <c r="F478" s="206" t="s">
        <v>881</v>
      </c>
      <c r="G478" s="205" t="s">
        <v>1010</v>
      </c>
      <c r="H478" s="205">
        <v>1</v>
      </c>
      <c r="I478" s="205">
        <v>10</v>
      </c>
      <c r="J478" s="205">
        <v>0</v>
      </c>
      <c r="K478" s="205">
        <v>0</v>
      </c>
    </row>
    <row r="479" spans="1:11" x14ac:dyDescent="0.25">
      <c r="A479" s="227">
        <v>478</v>
      </c>
      <c r="B479" s="206" t="s">
        <v>792</v>
      </c>
      <c r="C479" s="206" t="s">
        <v>860</v>
      </c>
      <c r="D479" s="206" t="s">
        <v>822</v>
      </c>
      <c r="E479" s="244" t="str">
        <f>IF(VisitsInvoice!C27="","Null", VisitsInvoice!C27)</f>
        <v>Null</v>
      </c>
      <c r="F479" s="206" t="s">
        <v>881</v>
      </c>
      <c r="G479" s="205" t="s">
        <v>1012</v>
      </c>
      <c r="H479" s="205">
        <v>1</v>
      </c>
      <c r="I479" s="205">
        <v>50</v>
      </c>
      <c r="J479" s="205">
        <v>0</v>
      </c>
      <c r="K479" s="205">
        <v>0</v>
      </c>
    </row>
    <row r="480" spans="1:11" x14ac:dyDescent="0.25">
      <c r="A480" s="227">
        <v>479</v>
      </c>
      <c r="B480" s="206" t="s">
        <v>792</v>
      </c>
      <c r="C480" s="206" t="s">
        <v>860</v>
      </c>
      <c r="D480" s="206" t="s">
        <v>823</v>
      </c>
      <c r="E480" s="244" t="str">
        <f>IF(VisitsInvoice!E27="","Null", VisitsInvoice!E27)</f>
        <v>Null</v>
      </c>
      <c r="F480" s="206" t="s">
        <v>881</v>
      </c>
      <c r="G480" s="205" t="s">
        <v>1012</v>
      </c>
      <c r="H480" s="205">
        <v>1</v>
      </c>
      <c r="I480" s="205">
        <v>50</v>
      </c>
      <c r="J480" s="205">
        <v>0</v>
      </c>
      <c r="K480" s="205">
        <v>0</v>
      </c>
    </row>
    <row r="481" spans="1:11" x14ac:dyDescent="0.25">
      <c r="A481" s="227">
        <v>480</v>
      </c>
      <c r="B481" s="206" t="s">
        <v>792</v>
      </c>
      <c r="C481" s="206" t="s">
        <v>860</v>
      </c>
      <c r="D481" s="206" t="s">
        <v>824</v>
      </c>
      <c r="E481" s="246" t="str">
        <f>IF(VisitsInvoice!H27="","Null", VisitsInvoice!H27)</f>
        <v>Null</v>
      </c>
      <c r="F481" s="206" t="s">
        <v>881</v>
      </c>
      <c r="G481" s="205" t="s">
        <v>1011</v>
      </c>
      <c r="H481" s="205">
        <v>1</v>
      </c>
      <c r="I481" s="205">
        <v>50</v>
      </c>
      <c r="J481" s="205">
        <v>0</v>
      </c>
      <c r="K481" s="205">
        <v>0</v>
      </c>
    </row>
    <row r="482" spans="1:11" x14ac:dyDescent="0.25">
      <c r="A482" s="227">
        <v>481</v>
      </c>
      <c r="B482" s="206" t="s">
        <v>792</v>
      </c>
      <c r="C482" s="206" t="s">
        <v>861</v>
      </c>
      <c r="D482" s="206" t="s">
        <v>825</v>
      </c>
      <c r="E482" s="244" t="str">
        <f>IF(VisitsInvoice!B28="","Null", VisitsInvoice!B28)</f>
        <v>Null</v>
      </c>
      <c r="F482" s="206" t="s">
        <v>881</v>
      </c>
      <c r="G482" s="205" t="s">
        <v>1010</v>
      </c>
      <c r="H482" s="205">
        <v>1</v>
      </c>
      <c r="I482" s="205">
        <v>10</v>
      </c>
      <c r="J482" s="205">
        <v>0</v>
      </c>
      <c r="K482" s="205">
        <v>0</v>
      </c>
    </row>
    <row r="483" spans="1:11" x14ac:dyDescent="0.25">
      <c r="A483" s="227">
        <v>482</v>
      </c>
      <c r="B483" s="206" t="s">
        <v>792</v>
      </c>
      <c r="C483" s="206" t="s">
        <v>861</v>
      </c>
      <c r="D483" s="206" t="s">
        <v>826</v>
      </c>
      <c r="E483" s="244" t="str">
        <f>IF(VisitsInvoice!C28="","Null", VisitsInvoice!C28)</f>
        <v>Null</v>
      </c>
      <c r="F483" s="206" t="s">
        <v>881</v>
      </c>
      <c r="G483" s="205" t="s">
        <v>1012</v>
      </c>
      <c r="H483" s="205">
        <v>1</v>
      </c>
      <c r="I483" s="205">
        <v>50</v>
      </c>
      <c r="J483" s="205">
        <v>0</v>
      </c>
      <c r="K483" s="205">
        <v>0</v>
      </c>
    </row>
    <row r="484" spans="1:11" x14ac:dyDescent="0.25">
      <c r="A484" s="227">
        <v>483</v>
      </c>
      <c r="B484" s="206" t="s">
        <v>792</v>
      </c>
      <c r="C484" s="206" t="s">
        <v>861</v>
      </c>
      <c r="D484" s="206" t="s">
        <v>827</v>
      </c>
      <c r="E484" s="244" t="str">
        <f>IF(VisitsInvoice!E28="","Null", VisitsInvoice!E28)</f>
        <v>Null</v>
      </c>
      <c r="F484" s="206" t="s">
        <v>881</v>
      </c>
      <c r="G484" s="205" t="s">
        <v>1012</v>
      </c>
      <c r="H484" s="205">
        <v>1</v>
      </c>
      <c r="I484" s="205">
        <v>50</v>
      </c>
      <c r="J484" s="205">
        <v>0</v>
      </c>
      <c r="K484" s="205">
        <v>0</v>
      </c>
    </row>
    <row r="485" spans="1:11" x14ac:dyDescent="0.25">
      <c r="A485" s="227">
        <v>484</v>
      </c>
      <c r="B485" s="206" t="s">
        <v>792</v>
      </c>
      <c r="C485" s="206" t="s">
        <v>861</v>
      </c>
      <c r="D485" s="206" t="s">
        <v>828</v>
      </c>
      <c r="E485" s="246" t="str">
        <f>IF(VisitsInvoice!H28="","Null", VisitsInvoice!H28)</f>
        <v>Null</v>
      </c>
      <c r="F485" s="206" t="s">
        <v>881</v>
      </c>
      <c r="G485" s="205" t="s">
        <v>1011</v>
      </c>
      <c r="H485" s="205">
        <v>1</v>
      </c>
      <c r="I485" s="205">
        <v>50</v>
      </c>
      <c r="J485" s="205">
        <v>0</v>
      </c>
      <c r="K485" s="205">
        <v>0</v>
      </c>
    </row>
    <row r="486" spans="1:11" x14ac:dyDescent="0.25">
      <c r="A486" s="227">
        <v>485</v>
      </c>
      <c r="B486" s="206" t="s">
        <v>792</v>
      </c>
      <c r="C486" s="206" t="s">
        <v>862</v>
      </c>
      <c r="D486" s="206" t="s">
        <v>829</v>
      </c>
      <c r="E486" s="244" t="str">
        <f>IF(VisitsInvoice!B29="","Null", VisitsInvoice!B29)</f>
        <v>Null</v>
      </c>
      <c r="F486" s="206" t="s">
        <v>881</v>
      </c>
      <c r="G486" s="205" t="s">
        <v>1010</v>
      </c>
      <c r="H486" s="205">
        <v>1</v>
      </c>
      <c r="I486" s="205">
        <v>10</v>
      </c>
      <c r="J486" s="205">
        <v>0</v>
      </c>
      <c r="K486" s="205">
        <v>0</v>
      </c>
    </row>
    <row r="487" spans="1:11" x14ac:dyDescent="0.25">
      <c r="A487" s="227">
        <v>486</v>
      </c>
      <c r="B487" s="206" t="s">
        <v>792</v>
      </c>
      <c r="C487" s="206" t="s">
        <v>862</v>
      </c>
      <c r="D487" s="206" t="s">
        <v>830</v>
      </c>
      <c r="E487" s="244" t="str">
        <f>IF(VisitsInvoice!C29="","Null", VisitsInvoice!C29)</f>
        <v>Null</v>
      </c>
      <c r="F487" s="206" t="s">
        <v>881</v>
      </c>
      <c r="G487" s="205" t="s">
        <v>1012</v>
      </c>
      <c r="H487" s="205">
        <v>1</v>
      </c>
      <c r="I487" s="205">
        <v>50</v>
      </c>
      <c r="J487" s="205">
        <v>0</v>
      </c>
      <c r="K487" s="205">
        <v>0</v>
      </c>
    </row>
    <row r="488" spans="1:11" x14ac:dyDescent="0.25">
      <c r="A488" s="227">
        <v>487</v>
      </c>
      <c r="B488" s="206" t="s">
        <v>792</v>
      </c>
      <c r="C488" s="206" t="s">
        <v>862</v>
      </c>
      <c r="D488" s="206" t="s">
        <v>831</v>
      </c>
      <c r="E488" s="244" t="str">
        <f>IF(VisitsInvoice!E29="","Null", VisitsInvoice!E29)</f>
        <v>Null</v>
      </c>
      <c r="F488" s="206" t="s">
        <v>881</v>
      </c>
      <c r="G488" s="205" t="s">
        <v>1012</v>
      </c>
      <c r="H488" s="205">
        <v>1</v>
      </c>
      <c r="I488" s="205">
        <v>50</v>
      </c>
      <c r="J488" s="205">
        <v>0</v>
      </c>
      <c r="K488" s="205">
        <v>0</v>
      </c>
    </row>
    <row r="489" spans="1:11" x14ac:dyDescent="0.25">
      <c r="A489" s="227">
        <v>488</v>
      </c>
      <c r="B489" s="206" t="s">
        <v>792</v>
      </c>
      <c r="C489" s="206" t="s">
        <v>862</v>
      </c>
      <c r="D489" s="206" t="s">
        <v>832</v>
      </c>
      <c r="E489" s="246" t="str">
        <f>IF(VisitsInvoice!H29="","Null", VisitsInvoice!H29)</f>
        <v>Null</v>
      </c>
      <c r="F489" s="206" t="s">
        <v>881</v>
      </c>
      <c r="G489" s="205" t="s">
        <v>1011</v>
      </c>
      <c r="H489" s="205">
        <v>1</v>
      </c>
      <c r="I489" s="205">
        <v>50</v>
      </c>
      <c r="J489" s="205">
        <v>0</v>
      </c>
      <c r="K489" s="205">
        <v>0</v>
      </c>
    </row>
    <row r="490" spans="1:11" x14ac:dyDescent="0.25">
      <c r="A490" s="227">
        <v>489</v>
      </c>
      <c r="B490" s="206" t="s">
        <v>792</v>
      </c>
      <c r="C490" s="206" t="s">
        <v>863</v>
      </c>
      <c r="D490" s="206" t="s">
        <v>833</v>
      </c>
      <c r="E490" s="244" t="str">
        <f>IF(VisitsInvoice!B30="","Null", VisitsInvoice!B30)</f>
        <v>Null</v>
      </c>
      <c r="F490" s="206" t="s">
        <v>881</v>
      </c>
      <c r="G490" s="205" t="s">
        <v>1010</v>
      </c>
      <c r="H490" s="205">
        <v>1</v>
      </c>
      <c r="I490" s="205">
        <v>10</v>
      </c>
      <c r="J490" s="205">
        <v>0</v>
      </c>
      <c r="K490" s="205">
        <v>0</v>
      </c>
    </row>
    <row r="491" spans="1:11" x14ac:dyDescent="0.25">
      <c r="A491" s="227">
        <v>490</v>
      </c>
      <c r="B491" s="206" t="s">
        <v>792</v>
      </c>
      <c r="C491" s="206" t="s">
        <v>863</v>
      </c>
      <c r="D491" s="206" t="s">
        <v>834</v>
      </c>
      <c r="E491" s="244" t="str">
        <f>IF(VisitsInvoice!C30="","Null", VisitsInvoice!C30)</f>
        <v>Null</v>
      </c>
      <c r="F491" s="206" t="s">
        <v>881</v>
      </c>
      <c r="G491" s="205" t="s">
        <v>1012</v>
      </c>
      <c r="H491" s="205">
        <v>1</v>
      </c>
      <c r="I491" s="205">
        <v>50</v>
      </c>
      <c r="J491" s="205">
        <v>0</v>
      </c>
      <c r="K491" s="205">
        <v>0</v>
      </c>
    </row>
    <row r="492" spans="1:11" x14ac:dyDescent="0.25">
      <c r="A492" s="227">
        <v>491</v>
      </c>
      <c r="B492" s="206" t="s">
        <v>792</v>
      </c>
      <c r="C492" s="206" t="s">
        <v>863</v>
      </c>
      <c r="D492" s="206" t="s">
        <v>835</v>
      </c>
      <c r="E492" s="244" t="str">
        <f>IF(VisitsInvoice!E30="","Null", VisitsInvoice!E30)</f>
        <v>Null</v>
      </c>
      <c r="F492" s="206" t="s">
        <v>881</v>
      </c>
      <c r="G492" s="205" t="s">
        <v>1012</v>
      </c>
      <c r="H492" s="205">
        <v>1</v>
      </c>
      <c r="I492" s="205">
        <v>50</v>
      </c>
      <c r="J492" s="205">
        <v>0</v>
      </c>
      <c r="K492" s="205">
        <v>0</v>
      </c>
    </row>
    <row r="493" spans="1:11" x14ac:dyDescent="0.25">
      <c r="A493" s="227">
        <v>492</v>
      </c>
      <c r="B493" s="206" t="s">
        <v>792</v>
      </c>
      <c r="C493" s="206" t="s">
        <v>863</v>
      </c>
      <c r="D493" s="206" t="s">
        <v>836</v>
      </c>
      <c r="E493" s="246" t="str">
        <f>IF(VisitsInvoice!H30="","Null", VisitsInvoice!H30)</f>
        <v>Null</v>
      </c>
      <c r="F493" s="206" t="s">
        <v>881</v>
      </c>
      <c r="G493" s="205" t="s">
        <v>1011</v>
      </c>
      <c r="H493" s="205">
        <v>1</v>
      </c>
      <c r="I493" s="205">
        <v>50</v>
      </c>
      <c r="J493" s="205">
        <v>0</v>
      </c>
      <c r="K493" s="205">
        <v>0</v>
      </c>
    </row>
    <row r="494" spans="1:11" x14ac:dyDescent="0.25">
      <c r="A494" s="227">
        <v>493</v>
      </c>
      <c r="B494" s="206" t="s">
        <v>792</v>
      </c>
      <c r="C494" s="206" t="s">
        <v>864</v>
      </c>
      <c r="D494" s="206" t="s">
        <v>837</v>
      </c>
      <c r="E494" s="244" t="str">
        <f>IF(VisitsInvoice!B31="","Null", VisitsInvoice!B31)</f>
        <v>Null</v>
      </c>
      <c r="F494" s="206" t="s">
        <v>881</v>
      </c>
      <c r="G494" s="205" t="s">
        <v>1010</v>
      </c>
      <c r="H494" s="205">
        <v>1</v>
      </c>
      <c r="I494" s="205">
        <v>10</v>
      </c>
      <c r="J494" s="205">
        <v>0</v>
      </c>
      <c r="K494" s="205">
        <v>0</v>
      </c>
    </row>
    <row r="495" spans="1:11" ht="15" customHeight="1" x14ac:dyDescent="0.25">
      <c r="A495" s="227">
        <v>494</v>
      </c>
      <c r="B495" s="206" t="s">
        <v>792</v>
      </c>
      <c r="C495" s="206" t="s">
        <v>864</v>
      </c>
      <c r="D495" s="206" t="s">
        <v>838</v>
      </c>
      <c r="E495" s="244" t="str">
        <f>IF(VisitsInvoice!C31="","Null", VisitsInvoice!C31)</f>
        <v>Null</v>
      </c>
      <c r="F495" s="206" t="s">
        <v>881</v>
      </c>
      <c r="G495" s="205" t="s">
        <v>1012</v>
      </c>
      <c r="H495" s="205">
        <v>1</v>
      </c>
      <c r="I495" s="205">
        <v>50</v>
      </c>
      <c r="J495" s="205">
        <v>0</v>
      </c>
      <c r="K495" s="205">
        <v>0</v>
      </c>
    </row>
    <row r="496" spans="1:11" ht="15" customHeight="1" x14ac:dyDescent="0.25">
      <c r="A496" s="227">
        <v>495</v>
      </c>
      <c r="B496" s="206" t="s">
        <v>792</v>
      </c>
      <c r="C496" s="206" t="s">
        <v>864</v>
      </c>
      <c r="D496" s="206" t="s">
        <v>839</v>
      </c>
      <c r="E496" s="244" t="str">
        <f>IF(VisitsInvoice!E31="","Null", VisitsInvoice!E31)</f>
        <v>Null</v>
      </c>
      <c r="F496" s="206" t="s">
        <v>881</v>
      </c>
      <c r="G496" s="205" t="s">
        <v>1012</v>
      </c>
      <c r="H496" s="205">
        <v>1</v>
      </c>
      <c r="I496" s="205">
        <v>50</v>
      </c>
      <c r="J496" s="205">
        <v>0</v>
      </c>
      <c r="K496" s="205">
        <v>0</v>
      </c>
    </row>
    <row r="497" spans="1:11" ht="15" customHeight="1" x14ac:dyDescent="0.25">
      <c r="A497" s="227">
        <v>496</v>
      </c>
      <c r="B497" s="206" t="s">
        <v>792</v>
      </c>
      <c r="C497" s="206" t="s">
        <v>864</v>
      </c>
      <c r="D497" s="206" t="s">
        <v>840</v>
      </c>
      <c r="E497" s="246" t="str">
        <f>IF(VisitsInvoice!H31="","Null", VisitsInvoice!H31)</f>
        <v>Null</v>
      </c>
      <c r="F497" s="206" t="s">
        <v>881</v>
      </c>
      <c r="G497" s="205" t="s">
        <v>1011</v>
      </c>
      <c r="H497" s="205">
        <v>1</v>
      </c>
      <c r="I497" s="205">
        <v>50</v>
      </c>
      <c r="J497" s="205">
        <v>0</v>
      </c>
      <c r="K497" s="205">
        <v>0</v>
      </c>
    </row>
    <row r="498" spans="1:11" ht="15" customHeight="1" x14ac:dyDescent="0.25">
      <c r="A498" s="227">
        <v>497</v>
      </c>
      <c r="B498" s="206" t="s">
        <v>792</v>
      </c>
      <c r="C498" s="206" t="s">
        <v>865</v>
      </c>
      <c r="D498" s="206" t="s">
        <v>841</v>
      </c>
      <c r="E498" s="244" t="str">
        <f>IF(VisitsInvoice!B32="","Null", VisitsInvoice!B32)</f>
        <v>Null</v>
      </c>
      <c r="F498" s="206" t="s">
        <v>881</v>
      </c>
      <c r="G498" s="205" t="s">
        <v>1010</v>
      </c>
      <c r="H498" s="205">
        <v>1</v>
      </c>
      <c r="I498" s="205">
        <v>10</v>
      </c>
      <c r="J498" s="205">
        <v>0</v>
      </c>
      <c r="K498" s="205">
        <v>0</v>
      </c>
    </row>
    <row r="499" spans="1:11" x14ac:dyDescent="0.25">
      <c r="A499" s="227">
        <v>498</v>
      </c>
      <c r="B499" s="206" t="s">
        <v>792</v>
      </c>
      <c r="C499" s="206" t="s">
        <v>865</v>
      </c>
      <c r="D499" s="206" t="s">
        <v>842</v>
      </c>
      <c r="E499" s="244" t="str">
        <f>IF(VisitsInvoice!C32="","Null", VisitsInvoice!C32)</f>
        <v>Null</v>
      </c>
      <c r="F499" s="206" t="s">
        <v>881</v>
      </c>
      <c r="G499" s="205" t="s">
        <v>1012</v>
      </c>
      <c r="H499" s="205">
        <v>1</v>
      </c>
      <c r="I499" s="205">
        <v>50</v>
      </c>
      <c r="J499" s="205">
        <v>0</v>
      </c>
      <c r="K499" s="205">
        <v>0</v>
      </c>
    </row>
    <row r="500" spans="1:11" x14ac:dyDescent="0.25">
      <c r="A500" s="227">
        <v>499</v>
      </c>
      <c r="B500" s="206" t="s">
        <v>792</v>
      </c>
      <c r="C500" s="206" t="s">
        <v>865</v>
      </c>
      <c r="D500" s="206" t="s">
        <v>843</v>
      </c>
      <c r="E500" s="244" t="str">
        <f>IF(VisitsInvoice!E32="","Null", VisitsInvoice!E32)</f>
        <v>Null</v>
      </c>
      <c r="F500" s="206" t="s">
        <v>881</v>
      </c>
      <c r="G500" s="205" t="s">
        <v>1012</v>
      </c>
      <c r="H500" s="205">
        <v>1</v>
      </c>
      <c r="I500" s="205">
        <v>50</v>
      </c>
      <c r="J500" s="205">
        <v>0</v>
      </c>
      <c r="K500" s="205">
        <v>0</v>
      </c>
    </row>
    <row r="501" spans="1:11" x14ac:dyDescent="0.25">
      <c r="A501" s="227">
        <v>500</v>
      </c>
      <c r="B501" s="206" t="s">
        <v>792</v>
      </c>
      <c r="C501" s="206" t="s">
        <v>865</v>
      </c>
      <c r="D501" s="206" t="s">
        <v>844</v>
      </c>
      <c r="E501" s="246" t="str">
        <f>IF(VisitsInvoice!H32="","Null", VisitsInvoice!H32)</f>
        <v>Null</v>
      </c>
      <c r="F501" s="206" t="s">
        <v>881</v>
      </c>
      <c r="G501" s="205" t="s">
        <v>1011</v>
      </c>
      <c r="H501" s="205">
        <v>1</v>
      </c>
      <c r="I501" s="205">
        <v>50</v>
      </c>
      <c r="J501" s="205">
        <v>0</v>
      </c>
      <c r="K501" s="205">
        <v>0</v>
      </c>
    </row>
    <row r="502" spans="1:11" x14ac:dyDescent="0.25">
      <c r="A502" s="227">
        <v>501</v>
      </c>
      <c r="B502" s="206" t="s">
        <v>792</v>
      </c>
      <c r="C502" s="206" t="s">
        <v>866</v>
      </c>
      <c r="D502" s="206" t="s">
        <v>845</v>
      </c>
      <c r="E502" s="244" t="str">
        <f>IF(VisitsInvoice!B33="","Null", VisitsInvoice!B33)</f>
        <v>Null</v>
      </c>
      <c r="F502" s="206" t="s">
        <v>881</v>
      </c>
      <c r="G502" s="205" t="s">
        <v>1010</v>
      </c>
      <c r="H502" s="205">
        <v>1</v>
      </c>
      <c r="I502" s="205">
        <v>10</v>
      </c>
      <c r="J502" s="205">
        <v>0</v>
      </c>
      <c r="K502" s="205">
        <v>0</v>
      </c>
    </row>
    <row r="503" spans="1:11" x14ac:dyDescent="0.25">
      <c r="A503" s="227">
        <v>502</v>
      </c>
      <c r="B503" s="206" t="s">
        <v>792</v>
      </c>
      <c r="C503" s="206" t="s">
        <v>866</v>
      </c>
      <c r="D503" s="206" t="s">
        <v>846</v>
      </c>
      <c r="E503" s="244" t="str">
        <f>IF(VisitsInvoice!C33="","Null", VisitsInvoice!C33)</f>
        <v>Null</v>
      </c>
      <c r="F503" s="206" t="s">
        <v>881</v>
      </c>
      <c r="G503" s="205" t="s">
        <v>1012</v>
      </c>
      <c r="H503" s="205">
        <v>1</v>
      </c>
      <c r="I503" s="205">
        <v>50</v>
      </c>
      <c r="J503" s="205">
        <v>0</v>
      </c>
      <c r="K503" s="205">
        <v>0</v>
      </c>
    </row>
    <row r="504" spans="1:11" x14ac:dyDescent="0.25">
      <c r="A504" s="227">
        <v>503</v>
      </c>
      <c r="B504" s="206" t="s">
        <v>792</v>
      </c>
      <c r="C504" s="206" t="s">
        <v>866</v>
      </c>
      <c r="D504" s="206" t="s">
        <v>847</v>
      </c>
      <c r="E504" s="244" t="str">
        <f>IF(VisitsInvoice!E33="","Null", VisitsInvoice!E33)</f>
        <v>Null</v>
      </c>
      <c r="F504" s="206" t="s">
        <v>881</v>
      </c>
      <c r="G504" s="205" t="s">
        <v>1012</v>
      </c>
      <c r="H504" s="205">
        <v>1</v>
      </c>
      <c r="I504" s="205">
        <v>50</v>
      </c>
      <c r="J504" s="205">
        <v>0</v>
      </c>
      <c r="K504" s="205">
        <v>0</v>
      </c>
    </row>
    <row r="505" spans="1:11" x14ac:dyDescent="0.25">
      <c r="A505" s="227">
        <v>504</v>
      </c>
      <c r="B505" s="206" t="s">
        <v>792</v>
      </c>
      <c r="C505" s="206" t="s">
        <v>866</v>
      </c>
      <c r="D505" s="206" t="s">
        <v>848</v>
      </c>
      <c r="E505" s="246" t="str">
        <f>IF(VisitsInvoice!H33="","Null", VisitsInvoice!H33)</f>
        <v>Null</v>
      </c>
      <c r="F505" s="206" t="s">
        <v>881</v>
      </c>
      <c r="G505" s="205" t="s">
        <v>1011</v>
      </c>
      <c r="H505" s="205">
        <v>1</v>
      </c>
      <c r="I505" s="205">
        <v>50</v>
      </c>
      <c r="J505" s="205">
        <v>0</v>
      </c>
      <c r="K505" s="205">
        <v>0</v>
      </c>
    </row>
    <row r="506" spans="1:11" x14ac:dyDescent="0.25">
      <c r="A506" s="227">
        <v>505</v>
      </c>
      <c r="B506" s="206" t="s">
        <v>792</v>
      </c>
      <c r="C506" s="206" t="s">
        <v>867</v>
      </c>
      <c r="D506" s="206" t="s">
        <v>849</v>
      </c>
      <c r="E506" s="244" t="str">
        <f>IF(VisitsInvoice!B34="","Null", VisitsInvoice!B34)</f>
        <v>Null</v>
      </c>
      <c r="F506" s="206" t="s">
        <v>881</v>
      </c>
      <c r="G506" s="205" t="s">
        <v>1010</v>
      </c>
      <c r="H506" s="205">
        <v>1</v>
      </c>
      <c r="I506" s="205">
        <v>10</v>
      </c>
      <c r="J506" s="205">
        <v>0</v>
      </c>
      <c r="K506" s="205">
        <v>0</v>
      </c>
    </row>
    <row r="507" spans="1:11" x14ac:dyDescent="0.25">
      <c r="A507" s="227">
        <v>506</v>
      </c>
      <c r="B507" s="206" t="s">
        <v>792</v>
      </c>
      <c r="C507" s="206" t="s">
        <v>867</v>
      </c>
      <c r="D507" s="206" t="s">
        <v>850</v>
      </c>
      <c r="E507" s="244" t="str">
        <f>IF(VisitsInvoice!C34="","Null", VisitsInvoice!C34)</f>
        <v>Null</v>
      </c>
      <c r="F507" s="206" t="s">
        <v>881</v>
      </c>
      <c r="G507" s="205" t="s">
        <v>1012</v>
      </c>
      <c r="H507" s="205">
        <v>1</v>
      </c>
      <c r="I507" s="205">
        <v>50</v>
      </c>
      <c r="J507" s="205">
        <v>0</v>
      </c>
      <c r="K507" s="205">
        <v>0</v>
      </c>
    </row>
    <row r="508" spans="1:11" x14ac:dyDescent="0.25">
      <c r="A508" s="227">
        <v>507</v>
      </c>
      <c r="B508" s="206" t="s">
        <v>792</v>
      </c>
      <c r="C508" s="206" t="s">
        <v>867</v>
      </c>
      <c r="D508" s="206" t="s">
        <v>851</v>
      </c>
      <c r="E508" s="244" t="str">
        <f>IF(VisitsInvoice!E34="","Null", VisitsInvoice!E34)</f>
        <v>Null</v>
      </c>
      <c r="F508" s="206" t="s">
        <v>881</v>
      </c>
      <c r="G508" s="205" t="s">
        <v>1012</v>
      </c>
      <c r="H508" s="205">
        <v>1</v>
      </c>
      <c r="I508" s="205">
        <v>50</v>
      </c>
      <c r="J508" s="205">
        <v>0</v>
      </c>
      <c r="K508" s="205">
        <v>0</v>
      </c>
    </row>
    <row r="509" spans="1:11" x14ac:dyDescent="0.25">
      <c r="A509" s="227">
        <v>508</v>
      </c>
      <c r="B509" s="206" t="s">
        <v>792</v>
      </c>
      <c r="C509" s="206" t="s">
        <v>867</v>
      </c>
      <c r="D509" s="206" t="s">
        <v>852</v>
      </c>
      <c r="E509" s="246" t="str">
        <f>IF(VisitsInvoice!H34="","Null", VisitsInvoice!H34)</f>
        <v>Null</v>
      </c>
      <c r="F509" s="206" t="s">
        <v>881</v>
      </c>
      <c r="G509" s="205" t="s">
        <v>1011</v>
      </c>
      <c r="H509" s="205">
        <v>1</v>
      </c>
      <c r="I509" s="205">
        <v>50</v>
      </c>
      <c r="J509" s="205">
        <v>0</v>
      </c>
      <c r="K509" s="205">
        <v>0</v>
      </c>
    </row>
    <row r="510" spans="1:11" x14ac:dyDescent="0.25">
      <c r="A510" s="227">
        <v>509</v>
      </c>
      <c r="B510" s="206" t="s">
        <v>792</v>
      </c>
      <c r="C510" s="206" t="s">
        <v>910</v>
      </c>
      <c r="D510" s="206" t="s">
        <v>911</v>
      </c>
      <c r="E510" s="222" t="str">
        <f>IF(InvSubTot=0,"Null", InvSubTot)</f>
        <v>Null</v>
      </c>
      <c r="F510" s="232" t="s">
        <v>881</v>
      </c>
      <c r="G510" s="205" t="s">
        <v>1012</v>
      </c>
      <c r="H510" s="205">
        <v>1</v>
      </c>
      <c r="I510" s="205">
        <v>50</v>
      </c>
      <c r="J510" s="205">
        <v>0</v>
      </c>
      <c r="K510" s="205">
        <v>0</v>
      </c>
    </row>
    <row r="511" spans="1:11" x14ac:dyDescent="0.25">
      <c r="A511" s="227">
        <v>510</v>
      </c>
      <c r="B511" s="207" t="s">
        <v>792</v>
      </c>
      <c r="C511" s="207" t="s">
        <v>165</v>
      </c>
      <c r="D511" s="208" t="s">
        <v>931</v>
      </c>
      <c r="E511" s="222" t="str">
        <f>IF(inv_no1="", "Null",inv_no1)</f>
        <v>Null</v>
      </c>
      <c r="F511" s="232" t="s">
        <v>932</v>
      </c>
      <c r="G511" s="205" t="s">
        <v>1012</v>
      </c>
      <c r="H511" s="205">
        <v>1</v>
      </c>
      <c r="I511" s="205">
        <v>50</v>
      </c>
      <c r="J511" s="205">
        <v>0</v>
      </c>
      <c r="K511" s="205">
        <v>0</v>
      </c>
    </row>
    <row r="512" spans="1:11" x14ac:dyDescent="0.25">
      <c r="A512" s="227">
        <v>511</v>
      </c>
      <c r="B512" s="207" t="s">
        <v>792</v>
      </c>
      <c r="C512" s="207" t="s">
        <v>165</v>
      </c>
      <c r="D512" s="208" t="s">
        <v>933</v>
      </c>
      <c r="E512" s="235" t="str">
        <f>IF(inv_date1="","Null",(inv_date1))</f>
        <v>Null</v>
      </c>
      <c r="F512" s="232" t="s">
        <v>932</v>
      </c>
      <c r="G512" s="205" t="s">
        <v>1010</v>
      </c>
      <c r="H512" s="205">
        <v>1</v>
      </c>
      <c r="I512" s="205">
        <v>10</v>
      </c>
      <c r="J512" s="205">
        <v>0</v>
      </c>
      <c r="K512" s="205">
        <v>0</v>
      </c>
    </row>
    <row r="513" spans="1:11" x14ac:dyDescent="0.25">
      <c r="A513" s="227">
        <v>512</v>
      </c>
      <c r="B513" s="206" t="s">
        <v>930</v>
      </c>
      <c r="C513" s="206" t="s">
        <v>930</v>
      </c>
      <c r="D513" s="222" t="s">
        <v>930</v>
      </c>
      <c r="E513" s="222">
        <v>90</v>
      </c>
      <c r="F513" s="206" t="s">
        <v>930</v>
      </c>
      <c r="G513" s="205" t="s">
        <v>1009</v>
      </c>
      <c r="H513" s="205">
        <v>1</v>
      </c>
      <c r="I513" s="205">
        <v>50</v>
      </c>
      <c r="J513" s="205">
        <v>1</v>
      </c>
      <c r="K513" s="205">
        <v>1</v>
      </c>
    </row>
    <row r="514" spans="1:11" x14ac:dyDescent="0.25">
      <c r="A514" s="227">
        <v>513</v>
      </c>
      <c r="B514" s="206" t="s">
        <v>1003</v>
      </c>
      <c r="C514" s="206" t="s">
        <v>1003</v>
      </c>
      <c r="D514" s="222" t="s">
        <v>1004</v>
      </c>
      <c r="E514" s="245" t="str">
        <f>IF(PNP="","Null",PNP)</f>
        <v>Null</v>
      </c>
      <c r="F514" s="206" t="s">
        <v>1004</v>
      </c>
      <c r="G514" s="205" t="s">
        <v>1009</v>
      </c>
      <c r="H514" s="205">
        <v>1</v>
      </c>
      <c r="I514" s="205">
        <v>50</v>
      </c>
      <c r="J514" s="205">
        <v>1</v>
      </c>
      <c r="K514" s="205">
        <v>1</v>
      </c>
    </row>
    <row r="515" spans="1:11" x14ac:dyDescent="0.25">
      <c r="A515" s="249">
        <v>514</v>
      </c>
      <c r="B515" s="250" t="s">
        <v>163</v>
      </c>
      <c r="C515" s="251" t="s">
        <v>181</v>
      </c>
      <c r="D515" s="251" t="s">
        <v>1056</v>
      </c>
      <c r="E515" s="244" t="str">
        <f>IF(wd_1_SDate="","Null", wd_1_SDate)</f>
        <v>Null</v>
      </c>
      <c r="F515" s="206" t="s">
        <v>875</v>
      </c>
      <c r="G515" s="205" t="s">
        <v>1010</v>
      </c>
      <c r="H515" s="205">
        <v>1</v>
      </c>
      <c r="I515" s="205">
        <v>10</v>
      </c>
      <c r="J515" s="205">
        <v>0</v>
      </c>
      <c r="K515" s="205">
        <v>0</v>
      </c>
    </row>
    <row r="516" spans="1:11" x14ac:dyDescent="0.25">
      <c r="A516" s="249">
        <v>515</v>
      </c>
      <c r="B516" s="250" t="s">
        <v>163</v>
      </c>
      <c r="C516" s="251" t="s">
        <v>185</v>
      </c>
      <c r="D516" s="251" t="s">
        <v>1057</v>
      </c>
      <c r="E516" s="244" t="str">
        <f>IF(wd_2_SDate="","Null", wd_2_SDate)</f>
        <v>Null</v>
      </c>
      <c r="F516" s="206" t="s">
        <v>875</v>
      </c>
      <c r="G516" s="205" t="s">
        <v>1010</v>
      </c>
      <c r="H516" s="205">
        <v>1</v>
      </c>
      <c r="I516" s="205">
        <v>10</v>
      </c>
      <c r="J516" s="205">
        <v>0</v>
      </c>
      <c r="K516" s="205">
        <v>0</v>
      </c>
    </row>
    <row r="517" spans="1:11" x14ac:dyDescent="0.25">
      <c r="A517" s="249">
        <v>516</v>
      </c>
      <c r="B517" s="250" t="s">
        <v>163</v>
      </c>
      <c r="C517" s="251" t="s">
        <v>186</v>
      </c>
      <c r="D517" s="251" t="s">
        <v>1058</v>
      </c>
      <c r="E517" s="244" t="str">
        <f>IF(wd_3_SDate="","Null", wd_3_SDate)</f>
        <v>Null</v>
      </c>
      <c r="F517" s="206" t="s">
        <v>875</v>
      </c>
      <c r="G517" s="205" t="s">
        <v>1010</v>
      </c>
      <c r="H517" s="205">
        <v>1</v>
      </c>
      <c r="I517" s="205">
        <v>10</v>
      </c>
      <c r="J517" s="205">
        <v>0</v>
      </c>
      <c r="K517" s="205">
        <v>0</v>
      </c>
    </row>
    <row r="518" spans="1:11" x14ac:dyDescent="0.25">
      <c r="A518" s="249">
        <v>517</v>
      </c>
      <c r="B518" s="250" t="s">
        <v>163</v>
      </c>
      <c r="C518" s="251" t="s">
        <v>680</v>
      </c>
      <c r="D518" s="251" t="s">
        <v>1059</v>
      </c>
      <c r="E518" s="244" t="str">
        <f>IF(wd_4_SDate="","Null", wd_4_SDate)</f>
        <v>Null</v>
      </c>
      <c r="F518" s="206" t="s">
        <v>875</v>
      </c>
      <c r="G518" s="205" t="s">
        <v>1010</v>
      </c>
      <c r="H518" s="205">
        <v>1</v>
      </c>
      <c r="I518" s="205">
        <v>10</v>
      </c>
      <c r="J518" s="205">
        <v>0</v>
      </c>
      <c r="K518" s="205">
        <v>0</v>
      </c>
    </row>
    <row r="519" spans="1:11" x14ac:dyDescent="0.25">
      <c r="A519" s="249">
        <v>518</v>
      </c>
      <c r="B519" s="250" t="s">
        <v>163</v>
      </c>
      <c r="C519" s="251" t="s">
        <v>681</v>
      </c>
      <c r="D519" s="251" t="s">
        <v>1060</v>
      </c>
      <c r="E519" s="244" t="str">
        <f>IF(wd_5_SDate="","Null", wd_5_SDate)</f>
        <v>Null</v>
      </c>
      <c r="F519" s="206" t="s">
        <v>875</v>
      </c>
      <c r="G519" s="205" t="s">
        <v>1010</v>
      </c>
      <c r="H519" s="205">
        <v>1</v>
      </c>
      <c r="I519" s="205">
        <v>10</v>
      </c>
      <c r="J519" s="205">
        <v>0</v>
      </c>
      <c r="K519" s="205">
        <v>0</v>
      </c>
    </row>
    <row r="520" spans="1:11" x14ac:dyDescent="0.25">
      <c r="A520" s="249">
        <v>519</v>
      </c>
      <c r="B520" s="250" t="s">
        <v>163</v>
      </c>
      <c r="C520" s="251" t="s">
        <v>682</v>
      </c>
      <c r="D520" s="251" t="s">
        <v>1061</v>
      </c>
      <c r="E520" s="244" t="str">
        <f>IF(wd_6_SDate="","Null", wd_6_SDate)</f>
        <v>Null</v>
      </c>
      <c r="F520" s="206" t="s">
        <v>875</v>
      </c>
      <c r="G520" s="205" t="s">
        <v>1010</v>
      </c>
      <c r="H520" s="205">
        <v>1</v>
      </c>
      <c r="I520" s="205">
        <v>10</v>
      </c>
      <c r="J520" s="205">
        <v>0</v>
      </c>
      <c r="K520" s="205">
        <v>0</v>
      </c>
    </row>
    <row r="521" spans="1:11" x14ac:dyDescent="0.25">
      <c r="A521" s="249">
        <v>520</v>
      </c>
      <c r="B521" s="250" t="s">
        <v>163</v>
      </c>
      <c r="C521" s="251" t="s">
        <v>683</v>
      </c>
      <c r="D521" s="251" t="s">
        <v>1062</v>
      </c>
      <c r="E521" s="244" t="str">
        <f>IF(wd_7_SDate="","Null", wd_7_SDate)</f>
        <v>Null</v>
      </c>
      <c r="F521" s="206" t="s">
        <v>875</v>
      </c>
      <c r="G521" s="205" t="s">
        <v>1010</v>
      </c>
      <c r="H521" s="205">
        <v>1</v>
      </c>
      <c r="I521" s="205">
        <v>10</v>
      </c>
      <c r="J521" s="205">
        <v>0</v>
      </c>
      <c r="K521" s="205">
        <v>0</v>
      </c>
    </row>
    <row r="522" spans="1:11" x14ac:dyDescent="0.25">
      <c r="A522" s="249">
        <v>521</v>
      </c>
      <c r="B522" s="250" t="s">
        <v>163</v>
      </c>
      <c r="C522" s="251" t="s">
        <v>684</v>
      </c>
      <c r="D522" s="251" t="s">
        <v>1063</v>
      </c>
      <c r="E522" s="244" t="str">
        <f>IF(wd_8_SDate="","Null", wd_8_SDate)</f>
        <v>Null</v>
      </c>
      <c r="F522" s="206" t="s">
        <v>875</v>
      </c>
      <c r="G522" s="205" t="s">
        <v>1010</v>
      </c>
      <c r="H522" s="205">
        <v>1</v>
      </c>
      <c r="I522" s="205">
        <v>10</v>
      </c>
      <c r="J522" s="205">
        <v>0</v>
      </c>
      <c r="K522" s="205">
        <v>0</v>
      </c>
    </row>
    <row r="523" spans="1:11" x14ac:dyDescent="0.25">
      <c r="A523" s="249">
        <v>522</v>
      </c>
      <c r="B523" s="250" t="s">
        <v>163</v>
      </c>
      <c r="C523" s="251" t="s">
        <v>685</v>
      </c>
      <c r="D523" s="251" t="s">
        <v>1064</v>
      </c>
      <c r="E523" s="244" t="str">
        <f>IF(wd_9_SDate="","Null", wd_9_SDate)</f>
        <v>Null</v>
      </c>
      <c r="F523" s="206" t="s">
        <v>875</v>
      </c>
      <c r="G523" s="205" t="s">
        <v>1010</v>
      </c>
      <c r="H523" s="205">
        <v>1</v>
      </c>
      <c r="I523" s="205">
        <v>10</v>
      </c>
      <c r="J523" s="205">
        <v>0</v>
      </c>
      <c r="K523" s="205">
        <v>0</v>
      </c>
    </row>
    <row r="524" spans="1:11" x14ac:dyDescent="0.25">
      <c r="A524" s="249">
        <v>523</v>
      </c>
      <c r="B524" s="251" t="s">
        <v>407</v>
      </c>
      <c r="C524" s="251" t="s">
        <v>181</v>
      </c>
      <c r="D524" s="251" t="s">
        <v>1110</v>
      </c>
      <c r="E524" s="244" t="str">
        <f>IF(pr_wd1_EDate="","Null", pr_wd1_EDate)</f>
        <v>Null</v>
      </c>
      <c r="F524" s="206" t="s">
        <v>1065</v>
      </c>
      <c r="G524" s="205" t="s">
        <v>1010</v>
      </c>
      <c r="H524" s="205">
        <v>1</v>
      </c>
      <c r="I524" s="205">
        <v>10</v>
      </c>
      <c r="J524" s="205">
        <v>0</v>
      </c>
      <c r="K524" s="205">
        <v>0</v>
      </c>
    </row>
    <row r="525" spans="1:11" x14ac:dyDescent="0.25">
      <c r="A525" s="249">
        <v>524</v>
      </c>
      <c r="B525" s="251" t="s">
        <v>407</v>
      </c>
      <c r="C525" s="251" t="s">
        <v>185</v>
      </c>
      <c r="D525" s="251" t="s">
        <v>1111</v>
      </c>
      <c r="E525" s="244" t="str">
        <f>IF(pr_wd2_EDate="","Null", pr_wd2_EDate)</f>
        <v>Null</v>
      </c>
      <c r="F525" s="206" t="s">
        <v>1065</v>
      </c>
      <c r="G525" s="205" t="s">
        <v>1010</v>
      </c>
      <c r="H525" s="205">
        <v>1</v>
      </c>
      <c r="I525" s="205">
        <v>10</v>
      </c>
      <c r="J525" s="205">
        <v>0</v>
      </c>
      <c r="K525" s="205">
        <v>0</v>
      </c>
    </row>
    <row r="526" spans="1:11" x14ac:dyDescent="0.25">
      <c r="A526" s="249">
        <v>525</v>
      </c>
      <c r="B526" s="251" t="s">
        <v>407</v>
      </c>
      <c r="C526" s="251" t="s">
        <v>186</v>
      </c>
      <c r="D526" s="251" t="s">
        <v>1112</v>
      </c>
      <c r="E526" s="244" t="str">
        <f>IF(pr_wd3_EDate="","Null", pr_wd3_EDate)</f>
        <v>Null</v>
      </c>
      <c r="F526" s="206" t="s">
        <v>1065</v>
      </c>
      <c r="G526" s="205" t="s">
        <v>1010</v>
      </c>
      <c r="H526" s="205">
        <v>1</v>
      </c>
      <c r="I526" s="205">
        <v>10</v>
      </c>
      <c r="J526" s="205">
        <v>0</v>
      </c>
      <c r="K526" s="205">
        <v>0</v>
      </c>
    </row>
    <row r="527" spans="1:11" x14ac:dyDescent="0.25">
      <c r="A527" s="249">
        <v>526</v>
      </c>
      <c r="B527" s="251" t="s">
        <v>407</v>
      </c>
      <c r="C527" s="251" t="s">
        <v>680</v>
      </c>
      <c r="D527" s="251" t="s">
        <v>1113</v>
      </c>
      <c r="E527" s="244" t="str">
        <f>IF(pr_wd4_EDate="","Null", pr_wd4_EDate)</f>
        <v>Null</v>
      </c>
      <c r="F527" s="206" t="s">
        <v>1065</v>
      </c>
      <c r="G527" s="205" t="s">
        <v>1010</v>
      </c>
      <c r="H527" s="205">
        <v>1</v>
      </c>
      <c r="I527" s="205">
        <v>10</v>
      </c>
      <c r="J527" s="205">
        <v>0</v>
      </c>
      <c r="K527" s="205">
        <v>0</v>
      </c>
    </row>
    <row r="528" spans="1:11" x14ac:dyDescent="0.25">
      <c r="A528" s="249">
        <v>527</v>
      </c>
      <c r="B528" s="251" t="s">
        <v>407</v>
      </c>
      <c r="C528" s="251" t="s">
        <v>681</v>
      </c>
      <c r="D528" s="251" t="s">
        <v>1114</v>
      </c>
      <c r="E528" s="244" t="str">
        <f>IF(pr_wd5_EDate="","Null", pr_wd5_EDate)</f>
        <v>Null</v>
      </c>
      <c r="F528" s="206" t="s">
        <v>1065</v>
      </c>
      <c r="G528" s="205" t="s">
        <v>1010</v>
      </c>
      <c r="H528" s="205">
        <v>1</v>
      </c>
      <c r="I528" s="205">
        <v>10</v>
      </c>
      <c r="J528" s="205">
        <v>0</v>
      </c>
      <c r="K528" s="205">
        <v>0</v>
      </c>
    </row>
    <row r="529" spans="1:11" x14ac:dyDescent="0.25">
      <c r="A529" s="249">
        <v>528</v>
      </c>
      <c r="B529" s="251" t="s">
        <v>407</v>
      </c>
      <c r="C529" s="251" t="s">
        <v>682</v>
      </c>
      <c r="D529" s="251" t="s">
        <v>1115</v>
      </c>
      <c r="E529" s="244" t="str">
        <f>IF(pr_wd6_EDate="","Null", pr_wd6_EDate)</f>
        <v>Null</v>
      </c>
      <c r="F529" s="206" t="s">
        <v>1065</v>
      </c>
      <c r="G529" s="205" t="s">
        <v>1010</v>
      </c>
      <c r="H529" s="205">
        <v>1</v>
      </c>
      <c r="I529" s="205">
        <v>10</v>
      </c>
      <c r="J529" s="205">
        <v>0</v>
      </c>
      <c r="K529" s="205">
        <v>0</v>
      </c>
    </row>
    <row r="530" spans="1:11" x14ac:dyDescent="0.25">
      <c r="A530" s="249">
        <v>529</v>
      </c>
      <c r="B530" s="251" t="s">
        <v>407</v>
      </c>
      <c r="C530" s="251" t="s">
        <v>683</v>
      </c>
      <c r="D530" s="251" t="s">
        <v>1116</v>
      </c>
      <c r="E530" s="244" t="str">
        <f>IF(pr_wd7_EDate="","Null", pr_wd7_EDate)</f>
        <v>Null</v>
      </c>
      <c r="F530" s="206" t="s">
        <v>1065</v>
      </c>
      <c r="G530" s="205" t="s">
        <v>1010</v>
      </c>
      <c r="H530" s="205">
        <v>1</v>
      </c>
      <c r="I530" s="205">
        <v>10</v>
      </c>
      <c r="J530" s="205">
        <v>0</v>
      </c>
      <c r="K530" s="205">
        <v>0</v>
      </c>
    </row>
    <row r="531" spans="1:11" x14ac:dyDescent="0.25">
      <c r="A531" s="249">
        <v>530</v>
      </c>
      <c r="B531" s="251" t="s">
        <v>407</v>
      </c>
      <c r="C531" s="251" t="s">
        <v>684</v>
      </c>
      <c r="D531" s="251" t="s">
        <v>1117</v>
      </c>
      <c r="E531" s="244" t="str">
        <f>IF(pr_wd8_EDate="","Null", pr_wd8_EDate)</f>
        <v>Null</v>
      </c>
      <c r="F531" s="206" t="s">
        <v>1065</v>
      </c>
      <c r="G531" s="205" t="s">
        <v>1010</v>
      </c>
      <c r="H531" s="205">
        <v>1</v>
      </c>
      <c r="I531" s="205">
        <v>10</v>
      </c>
      <c r="J531" s="205">
        <v>0</v>
      </c>
      <c r="K531" s="205">
        <v>0</v>
      </c>
    </row>
    <row r="532" spans="1:11" x14ac:dyDescent="0.25">
      <c r="A532" s="249">
        <v>531</v>
      </c>
      <c r="B532" s="251" t="s">
        <v>407</v>
      </c>
      <c r="C532" s="251" t="s">
        <v>685</v>
      </c>
      <c r="D532" s="251" t="s">
        <v>1118</v>
      </c>
      <c r="E532" s="244" t="str">
        <f>IF(pr_wd9_EDate="","Null", pr_wd9_EDate)</f>
        <v>Null</v>
      </c>
      <c r="F532" s="206" t="s">
        <v>1065</v>
      </c>
      <c r="G532" s="205" t="s">
        <v>1010</v>
      </c>
      <c r="H532" s="205">
        <v>1</v>
      </c>
      <c r="I532" s="205">
        <v>10</v>
      </c>
      <c r="J532" s="205">
        <v>0</v>
      </c>
      <c r="K532" s="205">
        <v>0</v>
      </c>
    </row>
    <row r="533" spans="1:11" x14ac:dyDescent="0.25">
      <c r="A533" s="249">
        <v>532</v>
      </c>
      <c r="B533" s="251" t="s">
        <v>201</v>
      </c>
      <c r="C533" s="251" t="s">
        <v>165</v>
      </c>
      <c r="D533" s="251" t="s">
        <v>1122</v>
      </c>
      <c r="E533" s="222" t="str">
        <f>IF(DeliveryContactNumber="","Null", DeliveryContactNumber)</f>
        <v>Null</v>
      </c>
      <c r="F533" s="206" t="s">
        <v>869</v>
      </c>
      <c r="G533" s="205" t="s">
        <v>1012</v>
      </c>
      <c r="H533" s="205">
        <v>1</v>
      </c>
      <c r="I533" s="205">
        <v>50</v>
      </c>
      <c r="J533" s="205">
        <v>0</v>
      </c>
      <c r="K533" s="205">
        <v>0</v>
      </c>
    </row>
    <row r="534" spans="1:11" x14ac:dyDescent="0.25">
      <c r="A534" s="205">
        <v>533</v>
      </c>
      <c r="B534" s="206" t="s">
        <v>163</v>
      </c>
      <c r="C534" s="206" t="s">
        <v>165</v>
      </c>
      <c r="D534" s="222" t="s">
        <v>2026</v>
      </c>
      <c r="E534" s="222" t="str">
        <f>IF(ass_DependantCode="","Null", ass_DependantCode)</f>
        <v>Null</v>
      </c>
      <c r="F534" s="206" t="s">
        <v>868</v>
      </c>
      <c r="G534" s="205" t="s">
        <v>1012</v>
      </c>
      <c r="H534" s="205">
        <v>1</v>
      </c>
      <c r="I534" s="205">
        <v>50</v>
      </c>
      <c r="J534" s="205">
        <v>0</v>
      </c>
      <c r="K534" s="205">
        <v>1</v>
      </c>
    </row>
  </sheetData>
  <sheetProtection algorithmName="SHA-512" hashValue="28JORibRWL6nCbUl/DpgOaJgnsO2nHcs0VMtUgBmcyfb+A0A+BwZHuVLfbSBzKZBMa7f9BOOLjKg4IXHIaiSMg==" saltValue="sv01+0omnSM/I3co9bdJHA==" spinCount="100000" sheet="1" selectLockedCells="1"/>
  <pageMargins left="0.7" right="0.7" top="0.75" bottom="0.75" header="0.3" footer="0.3"/>
  <pageSetup paperSize="9" orientation="portrait" horizontalDpi="4294967293" verticalDpi="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Z229"/>
  <sheetViews>
    <sheetView tabSelected="1" zoomScaleNormal="100" workbookViewId="0">
      <selection activeCell="Y4" sqref="Y4"/>
    </sheetView>
  </sheetViews>
  <sheetFormatPr defaultColWidth="9.140625" defaultRowHeight="16.5" x14ac:dyDescent="0.25"/>
  <cols>
    <col min="1" max="1" width="11.5703125" style="12" customWidth="1"/>
    <col min="2" max="2" width="12.5703125" style="12" customWidth="1"/>
    <col min="3" max="3" width="11.7109375" style="12" customWidth="1"/>
    <col min="4" max="4" width="15.5703125" style="12" customWidth="1"/>
    <col min="5" max="5" width="0.85546875" style="12" customWidth="1"/>
    <col min="6" max="6" width="10.28515625" style="12" customWidth="1"/>
    <col min="7" max="7" width="5.42578125" style="12" customWidth="1"/>
    <col min="8" max="8" width="11.42578125" style="12" customWidth="1"/>
    <col min="9" max="9" width="1" style="12" customWidth="1"/>
    <col min="10" max="10" width="0.85546875" style="12" customWidth="1"/>
    <col min="11" max="11" width="10.85546875" style="12" customWidth="1"/>
    <col min="12" max="12" width="1.140625" style="12" customWidth="1"/>
    <col min="13" max="13" width="10.85546875" style="12" customWidth="1"/>
    <col min="14" max="14" width="1" style="12" customWidth="1"/>
    <col min="15" max="15" width="12" style="12" customWidth="1"/>
    <col min="16" max="17" width="0.85546875" style="12" customWidth="1"/>
    <col min="18" max="18" width="10.7109375" style="12" customWidth="1"/>
    <col min="19" max="19" width="0.85546875" style="12" customWidth="1"/>
    <col min="20" max="20" width="9.140625" style="12"/>
    <col min="21" max="21" width="0.85546875" style="12" customWidth="1"/>
    <col min="22" max="22" width="17" style="12" customWidth="1"/>
    <col min="23" max="23" width="1.85546875" style="12" customWidth="1"/>
    <col min="24" max="24" width="9.140625" style="9"/>
    <col min="25" max="25" width="10.28515625" style="9" bestFit="1" customWidth="1"/>
    <col min="26" max="16384" width="9.140625" style="9"/>
  </cols>
  <sheetData>
    <row r="1" spans="1:24" s="12" customFormat="1" ht="20.25" x14ac:dyDescent="0.25">
      <c r="A1" s="13"/>
      <c r="C1" s="452" t="str">
        <f>"PATIENT ASSESSMENT FORM - Version #" &amp; Sheet1!E513</f>
        <v>PATIENT ASSESSMENT FORM - Version #90</v>
      </c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4"/>
      <c r="P1" s="243"/>
      <c r="Q1" s="243"/>
      <c r="R1" s="243"/>
      <c r="S1" s="243"/>
      <c r="T1" s="243"/>
      <c r="U1" s="243"/>
      <c r="V1" s="243"/>
      <c r="W1" s="14"/>
      <c r="X1" s="9"/>
    </row>
    <row r="2" spans="1:24" s="12" customFormat="1" ht="18" customHeight="1" x14ac:dyDescent="0.25">
      <c r="A2" s="15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5"/>
      <c r="S2" s="75"/>
      <c r="T2" s="75"/>
      <c r="U2" s="75"/>
      <c r="V2" s="75"/>
      <c r="W2" s="16"/>
      <c r="X2" s="9"/>
    </row>
    <row r="3" spans="1:24" s="12" customFormat="1" ht="24.75" customHeight="1" x14ac:dyDescent="0.25">
      <c r="A3" s="15"/>
      <c r="B3" s="77"/>
      <c r="C3" s="38" t="s">
        <v>1015</v>
      </c>
      <c r="D3" s="307"/>
      <c r="E3" s="308"/>
      <c r="F3" s="309"/>
      <c r="G3" s="274"/>
      <c r="H3" s="237"/>
      <c r="I3" s="237"/>
      <c r="J3" s="237"/>
      <c r="K3" s="237"/>
      <c r="L3" s="237"/>
      <c r="M3" s="237"/>
      <c r="N3" s="237"/>
      <c r="O3" s="237"/>
      <c r="P3" s="77"/>
      <c r="Q3" s="77"/>
      <c r="R3" s="75"/>
      <c r="S3" s="75"/>
      <c r="T3" s="75"/>
      <c r="U3" s="75"/>
      <c r="V3" s="75"/>
      <c r="W3" s="16"/>
      <c r="X3" s="9"/>
    </row>
    <row r="4" spans="1:24" s="12" customFormat="1" ht="5.0999999999999996" customHeight="1" x14ac:dyDescent="0.25">
      <c r="A4" s="15"/>
      <c r="B4" s="135"/>
      <c r="C4" s="38"/>
      <c r="D4" s="139"/>
      <c r="E4" s="139"/>
      <c r="F4" s="139"/>
      <c r="G4" s="139"/>
      <c r="H4" s="139"/>
      <c r="I4" s="17"/>
      <c r="J4" s="17"/>
      <c r="K4" s="135"/>
      <c r="L4" s="77"/>
      <c r="M4" s="155"/>
      <c r="N4" s="155"/>
      <c r="O4" s="155"/>
      <c r="P4" s="155"/>
      <c r="Q4" s="155"/>
      <c r="R4" s="155"/>
      <c r="S4" s="155"/>
      <c r="T4" s="155"/>
      <c r="U4" s="75"/>
      <c r="V4" s="75"/>
      <c r="W4" s="16"/>
      <c r="X4" s="9"/>
    </row>
    <row r="5" spans="1:24" s="12" customFormat="1" ht="16.5" customHeight="1" x14ac:dyDescent="0.25">
      <c r="A5" s="15"/>
      <c r="B5" s="75"/>
      <c r="C5" s="38" t="s">
        <v>103</v>
      </c>
      <c r="D5" s="330"/>
      <c r="E5" s="331"/>
      <c r="F5" s="331"/>
      <c r="G5" s="331"/>
      <c r="H5" s="332"/>
      <c r="I5" s="18"/>
      <c r="J5" s="18"/>
      <c r="K5" s="75"/>
      <c r="L5" s="75"/>
      <c r="M5" s="38" t="s">
        <v>104</v>
      </c>
      <c r="N5" s="294"/>
      <c r="O5" s="295"/>
      <c r="P5" s="295"/>
      <c r="Q5" s="295"/>
      <c r="R5" s="296"/>
      <c r="S5" s="75"/>
      <c r="T5" s="75"/>
      <c r="U5" s="75"/>
      <c r="V5" s="75"/>
      <c r="W5" s="16"/>
      <c r="X5" s="9"/>
    </row>
    <row r="6" spans="1:24" s="12" customFormat="1" ht="3.95" customHeight="1" x14ac:dyDescent="0.25">
      <c r="A6" s="15"/>
      <c r="B6" s="75"/>
      <c r="C6" s="19"/>
      <c r="D6" s="75"/>
      <c r="E6" s="75"/>
      <c r="F6" s="75"/>
      <c r="G6" s="75"/>
      <c r="H6" s="75"/>
      <c r="I6" s="75"/>
      <c r="J6" s="75"/>
      <c r="K6" s="75"/>
      <c r="L6" s="7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6"/>
      <c r="X6" s="9"/>
    </row>
    <row r="7" spans="1:24" s="12" customFormat="1" x14ac:dyDescent="0.25">
      <c r="A7" s="15"/>
      <c r="B7" s="75"/>
      <c r="C7" s="38" t="s">
        <v>903</v>
      </c>
      <c r="D7" s="202"/>
      <c r="F7" s="202"/>
      <c r="H7" s="202"/>
      <c r="I7" s="243"/>
      <c r="J7" s="243"/>
      <c r="K7" s="243"/>
      <c r="L7" s="75"/>
      <c r="M7" s="38" t="s">
        <v>102</v>
      </c>
      <c r="N7" s="328"/>
      <c r="O7" s="329"/>
      <c r="P7" s="155"/>
      <c r="Q7" s="155"/>
      <c r="R7" s="155"/>
      <c r="S7" s="155"/>
      <c r="T7" s="155"/>
      <c r="U7" s="155"/>
      <c r="V7" s="155"/>
      <c r="W7" s="16"/>
      <c r="X7" s="9"/>
    </row>
    <row r="8" spans="1:24" s="12" customFormat="1" ht="5.25" customHeight="1" x14ac:dyDescent="0.25">
      <c r="A8" s="15"/>
      <c r="B8" s="210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16"/>
      <c r="X8" s="9"/>
    </row>
    <row r="9" spans="1:24" s="12" customFormat="1" x14ac:dyDescent="0.25">
      <c r="A9" s="15"/>
      <c r="C9" s="19" t="s">
        <v>916</v>
      </c>
      <c r="D9" s="304"/>
      <c r="E9" s="305"/>
      <c r="F9" s="306"/>
      <c r="G9" s="210"/>
      <c r="H9" s="210"/>
      <c r="I9" s="210"/>
      <c r="J9" s="210"/>
      <c r="K9" s="210"/>
      <c r="L9" s="210"/>
      <c r="M9" s="38"/>
      <c r="N9" s="38"/>
      <c r="O9" s="210"/>
      <c r="P9" s="210"/>
      <c r="Q9" s="210"/>
      <c r="R9" s="210"/>
      <c r="S9" s="210"/>
      <c r="T9" s="210"/>
      <c r="U9" s="210"/>
      <c r="V9" s="210"/>
      <c r="W9" s="16"/>
      <c r="X9" s="9"/>
    </row>
    <row r="10" spans="1:24" s="12" customFormat="1" ht="9.75" customHeight="1" x14ac:dyDescent="0.25">
      <c r="A10" s="15"/>
      <c r="B10" s="75"/>
      <c r="C10" s="38"/>
      <c r="D10" s="20"/>
      <c r="E10" s="20"/>
      <c r="F10" s="20"/>
      <c r="G10" s="20"/>
      <c r="H10" s="20"/>
      <c r="I10" s="75"/>
      <c r="J10" s="75"/>
      <c r="K10" s="75"/>
      <c r="L10" s="7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6"/>
      <c r="X10" s="9"/>
    </row>
    <row r="11" spans="1:24" s="12" customFormat="1" ht="15.95" customHeight="1" x14ac:dyDescent="0.25">
      <c r="A11" s="15"/>
      <c r="C11" s="38" t="s">
        <v>454</v>
      </c>
      <c r="D11" s="351"/>
      <c r="E11" s="352"/>
      <c r="F11" s="352"/>
      <c r="G11" s="352"/>
      <c r="H11" s="352"/>
      <c r="I11" s="352"/>
      <c r="J11" s="353"/>
      <c r="K11" s="75"/>
      <c r="L11" s="75"/>
      <c r="M11" s="38" t="s">
        <v>884</v>
      </c>
      <c r="N11" s="155"/>
      <c r="O11" s="351"/>
      <c r="P11" s="352"/>
      <c r="Q11" s="352"/>
      <c r="R11" s="352"/>
      <c r="S11" s="352"/>
      <c r="T11" s="353"/>
      <c r="U11" s="155"/>
      <c r="V11" s="155"/>
      <c r="W11" s="16"/>
      <c r="X11" s="9"/>
    </row>
    <row r="12" spans="1:24" s="12" customFormat="1" ht="15.95" customHeight="1" x14ac:dyDescent="0.25">
      <c r="A12" s="155"/>
      <c r="B12" s="155"/>
      <c r="C12" s="155"/>
      <c r="D12" s="354"/>
      <c r="E12" s="303"/>
      <c r="F12" s="303"/>
      <c r="G12" s="303"/>
      <c r="H12" s="303"/>
      <c r="I12" s="303"/>
      <c r="J12" s="355"/>
      <c r="K12" s="155"/>
      <c r="L12" s="155"/>
      <c r="M12" s="155"/>
      <c r="N12" s="155"/>
      <c r="O12" s="359"/>
      <c r="P12" s="313"/>
      <c r="Q12" s="313"/>
      <c r="R12" s="313"/>
      <c r="S12" s="313"/>
      <c r="T12" s="360"/>
      <c r="U12" s="146"/>
      <c r="V12" s="146"/>
      <c r="W12" s="16"/>
      <c r="X12" s="9"/>
    </row>
    <row r="13" spans="1:24" s="12" customFormat="1" ht="15.95" customHeight="1" x14ac:dyDescent="0.25">
      <c r="A13" s="155"/>
      <c r="B13" s="155"/>
      <c r="C13" s="155"/>
      <c r="D13" s="354"/>
      <c r="E13" s="303"/>
      <c r="F13" s="303"/>
      <c r="G13" s="303"/>
      <c r="H13" s="303"/>
      <c r="I13" s="303"/>
      <c r="J13" s="355"/>
      <c r="K13" s="155"/>
      <c r="L13" s="155"/>
      <c r="M13" s="155"/>
      <c r="N13" s="155"/>
      <c r="O13" s="359"/>
      <c r="P13" s="313"/>
      <c r="Q13" s="313"/>
      <c r="R13" s="313"/>
      <c r="S13" s="313"/>
      <c r="T13" s="360"/>
      <c r="U13" s="155"/>
      <c r="V13" s="155"/>
      <c r="W13" s="16"/>
      <c r="X13" s="9"/>
    </row>
    <row r="14" spans="1:24" s="12" customFormat="1" ht="15.95" customHeight="1" x14ac:dyDescent="0.25">
      <c r="A14" s="15"/>
      <c r="B14" s="155"/>
      <c r="C14" s="155"/>
      <c r="D14" s="356"/>
      <c r="E14" s="357"/>
      <c r="F14" s="357"/>
      <c r="G14" s="357"/>
      <c r="H14" s="357"/>
      <c r="I14" s="357"/>
      <c r="J14" s="358"/>
      <c r="K14" s="155"/>
      <c r="L14" s="155"/>
      <c r="M14" s="155"/>
      <c r="N14" s="155"/>
      <c r="O14" s="361"/>
      <c r="P14" s="362"/>
      <c r="Q14" s="362"/>
      <c r="R14" s="362"/>
      <c r="S14" s="362"/>
      <c r="T14" s="363"/>
      <c r="U14" s="155"/>
      <c r="V14" s="155"/>
      <c r="W14" s="16"/>
      <c r="X14" s="9"/>
    </row>
    <row r="15" spans="1:24" s="12" customFormat="1" ht="15.95" customHeight="1" x14ac:dyDescent="0.25">
      <c r="A15" s="15"/>
      <c r="B15" s="155"/>
      <c r="C15" s="38" t="s">
        <v>883</v>
      </c>
      <c r="D15" s="201"/>
      <c r="E15" s="155"/>
      <c r="F15" s="155"/>
      <c r="G15" s="155"/>
      <c r="H15" s="155"/>
      <c r="I15" s="155"/>
      <c r="J15" s="155"/>
      <c r="K15" s="155"/>
      <c r="L15" s="155"/>
      <c r="M15" s="38" t="s">
        <v>885</v>
      </c>
      <c r="O15" s="202"/>
      <c r="P15" s="155"/>
      <c r="Q15" s="155"/>
      <c r="R15" s="155"/>
      <c r="S15" s="155"/>
      <c r="T15" s="155"/>
      <c r="U15" s="155"/>
      <c r="V15" s="155"/>
      <c r="W15" s="16"/>
      <c r="X15" s="9"/>
    </row>
    <row r="16" spans="1:24" s="12" customFormat="1" ht="15.75" customHeight="1" x14ac:dyDescent="0.25">
      <c r="A16" s="15"/>
      <c r="B16" s="75"/>
      <c r="C16" s="38"/>
      <c r="D16" s="20"/>
      <c r="E16" s="20"/>
      <c r="F16" s="20"/>
      <c r="G16" s="20"/>
      <c r="H16" s="20"/>
      <c r="I16" s="90"/>
      <c r="J16" s="90"/>
      <c r="K16" s="90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6"/>
      <c r="X16" s="9"/>
    </row>
    <row r="17" spans="1:24" s="12" customFormat="1" ht="16.5" customHeight="1" x14ac:dyDescent="0.25">
      <c r="A17" s="15"/>
      <c r="B17" s="75"/>
      <c r="C17" s="38" t="s">
        <v>106</v>
      </c>
      <c r="D17" s="81"/>
      <c r="E17" s="269"/>
      <c r="G17" s="272" t="s">
        <v>904</v>
      </c>
      <c r="H17" s="366"/>
      <c r="I17" s="367"/>
      <c r="J17" s="367"/>
      <c r="K17" s="367"/>
      <c r="L17" s="367"/>
      <c r="M17" s="367"/>
      <c r="N17" s="367"/>
      <c r="O17" s="368"/>
      <c r="Q17" s="271"/>
      <c r="R17" s="271"/>
      <c r="S17" s="271"/>
      <c r="T17" s="271"/>
      <c r="U17" s="271"/>
      <c r="V17" s="271"/>
      <c r="W17" s="16"/>
      <c r="X17" s="9"/>
    </row>
    <row r="18" spans="1:24" s="12" customFormat="1" ht="8.25" customHeight="1" x14ac:dyDescent="0.25">
      <c r="A18" s="15"/>
      <c r="B18" s="136"/>
      <c r="C18" s="38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38"/>
      <c r="O18" s="38"/>
      <c r="P18" s="20"/>
      <c r="Q18" s="146"/>
      <c r="R18" s="146"/>
      <c r="S18" s="146"/>
      <c r="T18" s="146"/>
      <c r="U18" s="146"/>
      <c r="V18" s="155"/>
      <c r="W18" s="16"/>
      <c r="X18" s="9"/>
    </row>
    <row r="19" spans="1:24" s="12" customFormat="1" ht="16.5" customHeight="1" x14ac:dyDescent="0.25">
      <c r="A19" s="15"/>
      <c r="B19" s="155"/>
      <c r="C19" s="23" t="s">
        <v>108</v>
      </c>
      <c r="D19" s="328"/>
      <c r="E19" s="329"/>
      <c r="F19" s="155"/>
      <c r="G19" s="272" t="s">
        <v>1856</v>
      </c>
      <c r="H19" s="303" t="s">
        <v>1119</v>
      </c>
      <c r="I19" s="303"/>
      <c r="J19" s="303"/>
      <c r="K19" s="303"/>
      <c r="L19" s="303"/>
      <c r="M19" s="303"/>
      <c r="N19" s="303"/>
      <c r="W19" s="16"/>
      <c r="X19" s="9"/>
    </row>
    <row r="20" spans="1:24" s="12" customFormat="1" ht="17.25" customHeight="1" x14ac:dyDescent="0.25">
      <c r="A20" s="15"/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203"/>
      <c r="V20" s="203"/>
      <c r="W20" s="16"/>
      <c r="X20" s="9"/>
    </row>
    <row r="21" spans="1:24" s="12" customFormat="1" ht="16.5" customHeight="1" x14ac:dyDescent="0.25">
      <c r="A21" s="15"/>
      <c r="B21" s="266"/>
      <c r="C21" s="272" t="s">
        <v>1005</v>
      </c>
      <c r="D21" s="267"/>
      <c r="F21" s="270"/>
      <c r="G21" s="19" t="s">
        <v>1855</v>
      </c>
      <c r="H21" s="365" t="s">
        <v>1119</v>
      </c>
      <c r="I21" s="365"/>
      <c r="J21" s="365"/>
      <c r="K21" s="365"/>
      <c r="L21" s="365"/>
      <c r="M21" s="266"/>
      <c r="N21" s="9"/>
      <c r="O21" s="268"/>
      <c r="P21" s="268"/>
      <c r="Q21" s="268"/>
      <c r="R21" s="268"/>
      <c r="S21" s="9"/>
      <c r="T21" s="9"/>
      <c r="U21" s="38"/>
      <c r="W21" s="16"/>
      <c r="X21" s="9"/>
    </row>
    <row r="22" spans="1:24" s="12" customFormat="1" ht="5.0999999999999996" customHeight="1" x14ac:dyDescent="0.25">
      <c r="A22" s="1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21"/>
      <c r="O22" s="364"/>
      <c r="P22" s="364"/>
      <c r="Q22" s="364"/>
      <c r="R22" s="364"/>
      <c r="S22" s="364"/>
      <c r="T22" s="364"/>
      <c r="U22" s="364"/>
      <c r="V22" s="155"/>
      <c r="W22" s="16"/>
      <c r="X22" s="9"/>
    </row>
    <row r="23" spans="1:24" s="12" customFormat="1" ht="16.5" customHeight="1" x14ac:dyDescent="0.25">
      <c r="A23" s="155"/>
      <c r="B23" s="203"/>
      <c r="C23" s="21" t="s">
        <v>105</v>
      </c>
      <c r="D23" s="297"/>
      <c r="E23" s="298"/>
      <c r="F23" s="298"/>
      <c r="G23" s="298"/>
      <c r="H23" s="298"/>
      <c r="I23" s="298"/>
      <c r="J23" s="299"/>
      <c r="K23" s="203"/>
      <c r="L23" s="203"/>
      <c r="M23" s="38" t="s">
        <v>2025</v>
      </c>
      <c r="N23" s="262"/>
      <c r="O23" s="366"/>
      <c r="P23" s="367"/>
      <c r="Q23" s="367"/>
      <c r="R23" s="367"/>
      <c r="S23" s="367"/>
      <c r="T23" s="367"/>
      <c r="U23" s="367"/>
      <c r="V23" s="368"/>
      <c r="W23" s="16"/>
      <c r="X23" s="9"/>
    </row>
    <row r="24" spans="1:24" s="12" customFormat="1" ht="5.0999999999999996" customHeight="1" x14ac:dyDescent="0.25">
      <c r="A24" s="15"/>
      <c r="B24" s="155"/>
      <c r="C24" s="23"/>
      <c r="D24" s="155"/>
      <c r="E24" s="155"/>
      <c r="F24" s="155"/>
      <c r="G24" s="155"/>
      <c r="H24" s="155"/>
      <c r="I24" s="155"/>
      <c r="J24" s="155"/>
      <c r="K24" s="155"/>
      <c r="L24" s="155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16"/>
      <c r="X24" s="9"/>
    </row>
    <row r="25" spans="1:24" s="12" customFormat="1" ht="16.5" customHeight="1" x14ac:dyDescent="0.25">
      <c r="A25" s="15"/>
      <c r="B25" s="155"/>
      <c r="C25" s="23" t="s">
        <v>134</v>
      </c>
      <c r="D25" s="278"/>
      <c r="E25" s="279"/>
      <c r="F25" s="280"/>
      <c r="G25" s="155"/>
      <c r="H25" s="155"/>
      <c r="I25" s="155"/>
      <c r="J25" s="155"/>
      <c r="K25" s="155"/>
      <c r="L25" s="155"/>
      <c r="M25" s="342" t="s">
        <v>1403</v>
      </c>
      <c r="N25" s="343"/>
      <c r="O25" s="343"/>
      <c r="P25" s="343"/>
      <c r="Q25" s="343"/>
      <c r="R25" s="343"/>
      <c r="S25" s="343"/>
      <c r="T25" s="343"/>
      <c r="U25" s="343"/>
      <c r="V25" s="344"/>
      <c r="W25" s="16"/>
      <c r="X25" s="9"/>
    </row>
    <row r="26" spans="1:24" s="12" customFormat="1" ht="5.0999999999999996" customHeight="1" x14ac:dyDescent="0.25">
      <c r="A26" s="15"/>
      <c r="B26" s="75"/>
      <c r="C26" s="38"/>
      <c r="D26" s="20"/>
      <c r="E26" s="20"/>
      <c r="F26" s="20"/>
      <c r="G26" s="20"/>
      <c r="H26" s="20"/>
      <c r="I26" s="75"/>
      <c r="J26" s="75"/>
      <c r="K26" s="155"/>
      <c r="L26" s="155"/>
      <c r="M26" s="345"/>
      <c r="N26" s="346"/>
      <c r="O26" s="346"/>
      <c r="P26" s="346"/>
      <c r="Q26" s="346"/>
      <c r="R26" s="346"/>
      <c r="S26" s="346"/>
      <c r="T26" s="346"/>
      <c r="U26" s="346"/>
      <c r="V26" s="347"/>
      <c r="W26" s="16"/>
      <c r="X26" s="9"/>
    </row>
    <row r="27" spans="1:24" s="12" customFormat="1" ht="16.5" customHeight="1" x14ac:dyDescent="0.25">
      <c r="A27" s="15"/>
      <c r="B27" s="38"/>
      <c r="C27" s="8" t="s">
        <v>111</v>
      </c>
      <c r="D27" s="278"/>
      <c r="E27" s="279"/>
      <c r="F27" s="280"/>
      <c r="G27" s="61"/>
      <c r="H27" s="146"/>
      <c r="I27" s="146"/>
      <c r="J27" s="146"/>
      <c r="K27" s="155"/>
      <c r="L27" s="155"/>
      <c r="M27" s="345"/>
      <c r="N27" s="346"/>
      <c r="O27" s="346"/>
      <c r="P27" s="346"/>
      <c r="Q27" s="346"/>
      <c r="R27" s="346"/>
      <c r="S27" s="346"/>
      <c r="T27" s="346"/>
      <c r="U27" s="346"/>
      <c r="V27" s="347"/>
      <c r="W27" s="16"/>
      <c r="X27" s="9"/>
    </row>
    <row r="28" spans="1:24" s="12" customFormat="1" ht="3.95" customHeight="1" x14ac:dyDescent="0.25">
      <c r="A28" s="15"/>
      <c r="B28" s="75"/>
      <c r="C28" s="38"/>
      <c r="D28" s="20"/>
      <c r="E28" s="20"/>
      <c r="F28" s="20"/>
      <c r="G28" s="20"/>
      <c r="H28" s="20"/>
      <c r="I28" s="75"/>
      <c r="J28" s="75"/>
      <c r="K28" s="75"/>
      <c r="L28" s="75"/>
      <c r="M28" s="345"/>
      <c r="N28" s="346"/>
      <c r="O28" s="346"/>
      <c r="P28" s="346"/>
      <c r="Q28" s="346"/>
      <c r="R28" s="346"/>
      <c r="S28" s="346"/>
      <c r="T28" s="346"/>
      <c r="U28" s="346"/>
      <c r="V28" s="347"/>
      <c r="W28" s="16"/>
      <c r="X28" s="9"/>
    </row>
    <row r="29" spans="1:24" s="12" customFormat="1" x14ac:dyDescent="0.25">
      <c r="A29" s="15"/>
      <c r="B29" s="75"/>
      <c r="C29" s="38" t="s">
        <v>109</v>
      </c>
      <c r="D29" s="313" t="s">
        <v>1119</v>
      </c>
      <c r="E29" s="313"/>
      <c r="F29" s="313"/>
      <c r="G29" s="313"/>
      <c r="H29" s="313"/>
      <c r="I29" s="313"/>
      <c r="J29" s="313"/>
      <c r="K29" s="9"/>
      <c r="L29" s="146"/>
      <c r="M29" s="348"/>
      <c r="N29" s="349"/>
      <c r="O29" s="349"/>
      <c r="P29" s="349"/>
      <c r="Q29" s="349"/>
      <c r="R29" s="349"/>
      <c r="S29" s="349"/>
      <c r="T29" s="349"/>
      <c r="U29" s="349"/>
      <c r="V29" s="350"/>
      <c r="W29" s="16"/>
      <c r="X29" s="9"/>
    </row>
    <row r="30" spans="1:24" s="12" customFormat="1" ht="5.0999999999999996" customHeight="1" x14ac:dyDescent="0.25">
      <c r="A30" s="75"/>
      <c r="B30" s="75"/>
      <c r="C30" s="38"/>
      <c r="D30" s="20"/>
      <c r="E30" s="20"/>
      <c r="F30" s="20"/>
      <c r="G30" s="20"/>
      <c r="H30" s="20"/>
      <c r="I30" s="20"/>
      <c r="J30" s="20"/>
      <c r="K30" s="75"/>
      <c r="L30" s="90"/>
      <c r="M30" s="90"/>
      <c r="N30" s="90"/>
      <c r="O30" s="90"/>
      <c r="P30" s="20"/>
      <c r="Q30" s="20"/>
      <c r="R30" s="90"/>
      <c r="S30" s="20"/>
      <c r="T30" s="90"/>
      <c r="U30" s="90"/>
      <c r="V30" s="90"/>
      <c r="W30" s="16"/>
      <c r="X30" s="9"/>
    </row>
    <row r="31" spans="1:24" s="12" customFormat="1" ht="20.100000000000001" customHeight="1" x14ac:dyDescent="0.25">
      <c r="A31" s="15"/>
      <c r="B31" s="75"/>
      <c r="C31" s="23" t="s">
        <v>110</v>
      </c>
      <c r="D31" s="284"/>
      <c r="E31" s="285"/>
      <c r="F31" s="285"/>
      <c r="G31" s="285"/>
      <c r="H31" s="285"/>
      <c r="I31" s="285"/>
      <c r="J31" s="286"/>
      <c r="K31" s="314" t="s">
        <v>453</v>
      </c>
      <c r="L31" s="315"/>
      <c r="M31" s="316"/>
      <c r="N31" s="304"/>
      <c r="O31" s="305"/>
      <c r="P31" s="305"/>
      <c r="Q31" s="306"/>
      <c r="R31" s="20"/>
      <c r="S31" s="20"/>
      <c r="T31" s="20"/>
      <c r="U31" s="75"/>
      <c r="V31" s="75"/>
      <c r="W31" s="16"/>
      <c r="X31" s="9"/>
    </row>
    <row r="32" spans="1:24" s="12" customFormat="1" ht="5.0999999999999996" customHeight="1" x14ac:dyDescent="0.25">
      <c r="A32" s="15"/>
      <c r="B32" s="23"/>
      <c r="C32" s="23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16"/>
      <c r="X32" s="9"/>
    </row>
    <row r="33" spans="1:24" s="12" customFormat="1" ht="16.149999999999999" customHeight="1" x14ac:dyDescent="0.25">
      <c r="A33" s="15"/>
      <c r="B33" s="23"/>
      <c r="C33" s="23" t="s">
        <v>387</v>
      </c>
      <c r="D33" s="310"/>
      <c r="E33" s="311"/>
      <c r="F33" s="311"/>
      <c r="G33" s="311"/>
      <c r="H33" s="311"/>
      <c r="I33" s="311"/>
      <c r="J33" s="312"/>
      <c r="K33" s="75"/>
      <c r="L33" s="75"/>
      <c r="M33" s="72"/>
      <c r="N33" s="75"/>
      <c r="O33" s="72"/>
      <c r="P33" s="72"/>
      <c r="Q33" s="72"/>
      <c r="R33" s="72"/>
      <c r="S33" s="72"/>
      <c r="T33" s="72"/>
      <c r="U33" s="72"/>
      <c r="V33" s="75"/>
      <c r="W33" s="16"/>
      <c r="X33" s="9"/>
    </row>
    <row r="34" spans="1:24" s="12" customFormat="1" ht="5.0999999999999996" customHeight="1" x14ac:dyDescent="0.25">
      <c r="A34" s="15"/>
      <c r="B34" s="23"/>
      <c r="C34" s="23"/>
      <c r="D34" s="75"/>
      <c r="E34" s="75"/>
      <c r="F34" s="75"/>
      <c r="G34" s="75"/>
      <c r="H34" s="75"/>
      <c r="I34" s="75"/>
      <c r="J34" s="75"/>
      <c r="K34" s="75"/>
      <c r="L34" s="75"/>
      <c r="M34" s="23"/>
      <c r="N34" s="75"/>
      <c r="O34" s="72"/>
      <c r="P34" s="72"/>
      <c r="Q34" s="72"/>
      <c r="R34" s="72"/>
      <c r="S34" s="72"/>
      <c r="T34" s="72"/>
      <c r="U34" s="72"/>
      <c r="V34" s="75"/>
      <c r="W34" s="16"/>
      <c r="X34" s="9"/>
    </row>
    <row r="35" spans="1:24" s="12" customFormat="1" ht="6.75" customHeight="1" thickBot="1" x14ac:dyDescent="0.3">
      <c r="A35" s="25"/>
      <c r="B35" s="26"/>
      <c r="C35" s="27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8"/>
      <c r="X35" s="9"/>
    </row>
    <row r="36" spans="1:24" s="12" customFormat="1" ht="9.9499999999999993" customHeight="1" x14ac:dyDescent="0.25">
      <c r="A36" s="15"/>
      <c r="B36" s="75"/>
      <c r="C36" s="71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16"/>
      <c r="X36" s="9"/>
    </row>
    <row r="37" spans="1:24" s="12" customFormat="1" ht="16.149999999999999" customHeight="1" x14ac:dyDescent="0.25">
      <c r="A37" s="15"/>
      <c r="B37" s="23"/>
      <c r="C37" s="23" t="s">
        <v>383</v>
      </c>
      <c r="D37" s="284"/>
      <c r="E37" s="285"/>
      <c r="F37" s="285"/>
      <c r="G37" s="285"/>
      <c r="H37" s="285"/>
      <c r="I37" s="285"/>
      <c r="J37" s="286"/>
      <c r="K37" s="75"/>
      <c r="L37" s="75"/>
      <c r="M37" s="9"/>
      <c r="N37" s="23"/>
      <c r="O37" s="23" t="s">
        <v>384</v>
      </c>
      <c r="P37" s="72"/>
      <c r="Q37" s="72"/>
      <c r="R37" s="284"/>
      <c r="S37" s="285"/>
      <c r="T37" s="286"/>
      <c r="U37" s="72"/>
      <c r="V37" s="72"/>
      <c r="W37" s="16"/>
      <c r="X37" s="9"/>
    </row>
    <row r="38" spans="1:24" s="12" customFormat="1" ht="6" customHeight="1" x14ac:dyDescent="0.25">
      <c r="A38" s="15"/>
      <c r="B38" s="23"/>
      <c r="C38" s="23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23"/>
      <c r="O38" s="23"/>
      <c r="P38" s="75"/>
      <c r="Q38" s="75"/>
      <c r="R38" s="75"/>
      <c r="S38" s="75"/>
      <c r="T38" s="75"/>
      <c r="U38" s="75"/>
      <c r="V38" s="75"/>
      <c r="W38" s="16"/>
      <c r="X38" s="9"/>
    </row>
    <row r="39" spans="1:24" s="12" customFormat="1" ht="16.149999999999999" customHeight="1" x14ac:dyDescent="0.25">
      <c r="A39" s="15"/>
      <c r="B39" s="23"/>
      <c r="C39" s="23" t="s">
        <v>385</v>
      </c>
      <c r="D39" s="304"/>
      <c r="E39" s="305"/>
      <c r="F39" s="306"/>
      <c r="G39" s="204"/>
      <c r="H39" s="204"/>
      <c r="I39" s="204"/>
      <c r="J39" s="204"/>
      <c r="K39" s="204"/>
      <c r="L39" s="75"/>
      <c r="M39" s="75"/>
      <c r="N39" s="23"/>
      <c r="O39" s="23"/>
      <c r="P39" s="75"/>
      <c r="Q39" s="75"/>
      <c r="R39" s="75"/>
      <c r="S39" s="75"/>
      <c r="T39" s="75"/>
      <c r="U39" s="75"/>
      <c r="V39" s="75"/>
      <c r="W39" s="16"/>
      <c r="X39" s="9"/>
    </row>
    <row r="40" spans="1:24" s="12" customFormat="1" ht="9.9499999999999993" customHeight="1" x14ac:dyDescent="0.25">
      <c r="A40" s="15"/>
      <c r="B40" s="23"/>
      <c r="C40" s="23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23"/>
      <c r="O40" s="23"/>
      <c r="P40" s="75"/>
      <c r="Q40" s="75"/>
      <c r="R40" s="75"/>
      <c r="S40" s="75"/>
      <c r="T40" s="75"/>
      <c r="U40" s="75"/>
      <c r="V40" s="75"/>
      <c r="W40" s="16"/>
      <c r="X40" s="9"/>
    </row>
    <row r="41" spans="1:24" s="12" customFormat="1" ht="16.149999999999999" customHeight="1" x14ac:dyDescent="0.25">
      <c r="A41" s="15"/>
      <c r="B41" s="23"/>
      <c r="C41" s="23" t="s">
        <v>1134</v>
      </c>
      <c r="D41" s="284"/>
      <c r="E41" s="285"/>
      <c r="F41" s="285"/>
      <c r="G41" s="285"/>
      <c r="H41" s="285"/>
      <c r="I41" s="285"/>
      <c r="J41" s="286"/>
      <c r="K41" s="75"/>
      <c r="L41" s="75"/>
      <c r="M41" s="9"/>
      <c r="N41" s="23"/>
      <c r="O41" s="23" t="s">
        <v>386</v>
      </c>
      <c r="P41" s="72"/>
      <c r="Q41" s="72"/>
      <c r="R41" s="310"/>
      <c r="S41" s="311"/>
      <c r="T41" s="312"/>
      <c r="U41" s="72"/>
      <c r="V41" s="75"/>
      <c r="W41" s="16"/>
      <c r="X41" s="9"/>
    </row>
    <row r="42" spans="1:24" s="12" customFormat="1" ht="3" customHeight="1" x14ac:dyDescent="0.25">
      <c r="A42" s="9"/>
      <c r="B42" s="23"/>
      <c r="C42" s="23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23"/>
      <c r="O42" s="23"/>
      <c r="P42" s="75"/>
      <c r="Q42" s="75"/>
      <c r="R42" s="75"/>
      <c r="S42" s="75"/>
      <c r="T42" s="75"/>
      <c r="U42" s="75"/>
      <c r="V42" s="75"/>
      <c r="W42" s="16"/>
      <c r="X42" s="9"/>
    </row>
    <row r="43" spans="1:24" s="12" customFormat="1" ht="1.5" customHeight="1" x14ac:dyDescent="0.25">
      <c r="A43" s="15"/>
      <c r="B43" s="23"/>
      <c r="C43" s="23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23"/>
      <c r="O43" s="23"/>
      <c r="P43" s="75"/>
      <c r="Q43" s="75"/>
      <c r="R43" s="75"/>
      <c r="S43" s="75"/>
      <c r="T43" s="75"/>
      <c r="U43" s="75"/>
      <c r="V43" s="75"/>
      <c r="W43" s="16"/>
      <c r="X43" s="9"/>
    </row>
    <row r="44" spans="1:24" s="12" customFormat="1" ht="0.75" customHeight="1" x14ac:dyDescent="0.25">
      <c r="A44" s="15"/>
      <c r="B44" s="23"/>
      <c r="C44" s="23"/>
      <c r="D44" s="23"/>
      <c r="E44" s="23"/>
      <c r="F44" s="23"/>
      <c r="G44" s="23"/>
      <c r="H44" s="23"/>
      <c r="I44" s="23"/>
      <c r="J44" s="23"/>
      <c r="K44" s="75"/>
      <c r="L44" s="75"/>
      <c r="M44" s="9"/>
      <c r="N44" s="23"/>
      <c r="O44" s="23"/>
      <c r="P44" s="72"/>
      <c r="Q44" s="72"/>
      <c r="R44" s="23"/>
      <c r="S44" s="23"/>
      <c r="T44" s="23"/>
      <c r="U44" s="72"/>
      <c r="V44" s="75"/>
      <c r="W44" s="16"/>
      <c r="X44" s="9"/>
    </row>
    <row r="45" spans="1:24" s="12" customFormat="1" ht="3.75" customHeight="1" thickBot="1" x14ac:dyDescent="0.3">
      <c r="A45" s="25"/>
      <c r="B45" s="26"/>
      <c r="C45" s="27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8"/>
      <c r="X45" s="9"/>
    </row>
    <row r="46" spans="1:24" s="12" customFormat="1" ht="10.5" customHeight="1" x14ac:dyDescent="0.25">
      <c r="A46" s="1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16"/>
      <c r="X46" s="9"/>
    </row>
    <row r="47" spans="1:24" s="12" customFormat="1" ht="171" customHeight="1" x14ac:dyDescent="0.25">
      <c r="A47" s="15"/>
      <c r="B47" s="317" t="s">
        <v>1132</v>
      </c>
      <c r="C47" s="318"/>
      <c r="D47" s="322"/>
      <c r="E47" s="323"/>
      <c r="F47" s="323"/>
      <c r="G47" s="323"/>
      <c r="H47" s="323"/>
      <c r="I47" s="323"/>
      <c r="J47" s="323"/>
      <c r="K47" s="323"/>
      <c r="L47" s="323"/>
      <c r="M47" s="323"/>
      <c r="N47" s="323"/>
      <c r="O47" s="323"/>
      <c r="P47" s="323"/>
      <c r="Q47" s="323"/>
      <c r="R47" s="323"/>
      <c r="S47" s="323"/>
      <c r="T47" s="323"/>
      <c r="U47" s="323"/>
      <c r="V47" s="324"/>
      <c r="W47" s="16"/>
      <c r="X47" s="9"/>
    </row>
    <row r="48" spans="1:24" s="12" customFormat="1" ht="3.75" customHeight="1" x14ac:dyDescent="0.25">
      <c r="A48" s="1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16"/>
      <c r="X48" s="9"/>
    </row>
    <row r="49" spans="1:24" s="12" customFormat="1" ht="2.25" customHeight="1" x14ac:dyDescent="0.25">
      <c r="A49" s="15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6"/>
      <c r="X49" s="9"/>
    </row>
    <row r="50" spans="1:24" s="12" customFormat="1" ht="2.25" customHeight="1" x14ac:dyDescent="0.25">
      <c r="A50" s="15"/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3"/>
      <c r="W50" s="16"/>
      <c r="X50" s="9"/>
    </row>
    <row r="51" spans="1:24" s="12" customFormat="1" ht="9" customHeight="1" x14ac:dyDescent="0.25">
      <c r="A51" s="15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6"/>
      <c r="X51" s="9"/>
    </row>
    <row r="52" spans="1:24" s="12" customFormat="1" ht="150" customHeight="1" x14ac:dyDescent="0.25">
      <c r="A52" s="15"/>
      <c r="B52" s="334" t="s">
        <v>457</v>
      </c>
      <c r="C52" s="335"/>
      <c r="D52" s="322"/>
      <c r="E52" s="323"/>
      <c r="F52" s="323"/>
      <c r="G52" s="323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4"/>
      <c r="W52" s="16"/>
      <c r="X52" s="9"/>
    </row>
    <row r="53" spans="1:24" s="12" customFormat="1" ht="13.5" customHeight="1" x14ac:dyDescent="0.25">
      <c r="A53" s="15"/>
      <c r="B53" s="76"/>
      <c r="C53" s="253"/>
      <c r="D53" s="253"/>
      <c r="E53" s="253"/>
      <c r="F53" s="253"/>
      <c r="G53" s="253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16"/>
      <c r="X53" s="9"/>
    </row>
    <row r="54" spans="1:24" s="12" customFormat="1" ht="5.0999999999999996" customHeight="1" x14ac:dyDescent="0.25">
      <c r="A54" s="15"/>
      <c r="B54" s="76"/>
      <c r="C54" s="76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6"/>
      <c r="X54" s="9"/>
    </row>
    <row r="55" spans="1:24" s="12" customFormat="1" ht="21" customHeight="1" x14ac:dyDescent="0.25">
      <c r="A55" s="15"/>
      <c r="B55" s="75"/>
      <c r="C55" s="35"/>
      <c r="D55" s="36"/>
      <c r="E55" s="75"/>
      <c r="F55" s="19" t="s">
        <v>389</v>
      </c>
      <c r="G55" s="75"/>
      <c r="H55" s="238"/>
      <c r="I55" s="254"/>
      <c r="J55" s="254"/>
      <c r="K55" s="19" t="s">
        <v>390</v>
      </c>
      <c r="L55" s="254"/>
      <c r="M55" s="254"/>
      <c r="N55" s="254"/>
      <c r="O55" s="254"/>
      <c r="P55" s="254"/>
      <c r="Q55" s="254"/>
      <c r="R55" s="38" t="s">
        <v>154</v>
      </c>
      <c r="S55" s="254"/>
      <c r="T55" s="254"/>
      <c r="U55" s="254"/>
      <c r="V55" s="254"/>
      <c r="W55" s="16"/>
      <c r="X55" s="9"/>
    </row>
    <row r="56" spans="1:24" s="12" customFormat="1" ht="3" hidden="1" customHeight="1" x14ac:dyDescent="0.25">
      <c r="A56" s="15"/>
      <c r="B56" s="75"/>
      <c r="C56" s="35"/>
      <c r="D56" s="36"/>
      <c r="E56" s="75"/>
      <c r="F56" s="36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16"/>
      <c r="X56" s="9"/>
    </row>
    <row r="57" spans="1:24" s="12" customFormat="1" ht="16.5" hidden="1" customHeight="1" x14ac:dyDescent="0.25">
      <c r="A57" s="15"/>
      <c r="B57" s="75"/>
      <c r="C57" s="35"/>
      <c r="D57" s="75"/>
      <c r="E57" s="75"/>
      <c r="F57" s="75"/>
      <c r="G57" s="75"/>
      <c r="H57" s="19" t="s">
        <v>155</v>
      </c>
      <c r="I57" s="75"/>
      <c r="J57" s="75"/>
      <c r="K57" s="339"/>
      <c r="L57" s="340"/>
      <c r="M57" s="341"/>
      <c r="N57" s="75"/>
      <c r="O57" s="75"/>
      <c r="P57" s="75"/>
      <c r="Q57" s="75"/>
      <c r="R57" s="38" t="s">
        <v>156</v>
      </c>
      <c r="S57" s="75"/>
      <c r="T57" s="339"/>
      <c r="U57" s="340"/>
      <c r="V57" s="341"/>
      <c r="W57" s="16"/>
      <c r="X57" s="9"/>
    </row>
    <row r="58" spans="1:24" s="12" customFormat="1" ht="3" hidden="1" customHeight="1" x14ac:dyDescent="0.25">
      <c r="A58" s="15"/>
      <c r="B58" s="75"/>
      <c r="C58" s="35"/>
      <c r="D58" s="75"/>
      <c r="E58" s="75"/>
      <c r="F58" s="75"/>
      <c r="G58" s="75"/>
      <c r="H58" s="19"/>
      <c r="I58" s="75"/>
      <c r="J58" s="75"/>
      <c r="K58" s="75"/>
      <c r="L58" s="75"/>
      <c r="M58" s="75"/>
      <c r="N58" s="75"/>
      <c r="O58" s="75"/>
      <c r="P58" s="75"/>
      <c r="Q58" s="75"/>
      <c r="R58" s="38"/>
      <c r="S58" s="75"/>
      <c r="T58" s="75"/>
      <c r="U58" s="75"/>
      <c r="V58" s="75"/>
      <c r="W58" s="16"/>
      <c r="X58" s="9"/>
    </row>
    <row r="59" spans="1:24" s="12" customFormat="1" ht="26.25" customHeight="1" x14ac:dyDescent="0.25">
      <c r="A59" s="15"/>
      <c r="B59" s="73"/>
      <c r="C59" s="75"/>
      <c r="D59" s="73" t="s">
        <v>316</v>
      </c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16"/>
      <c r="X59" s="9"/>
    </row>
    <row r="60" spans="1:24" s="12" customFormat="1" ht="3" customHeight="1" x14ac:dyDescent="0.25">
      <c r="A60" s="15"/>
      <c r="B60" s="75"/>
      <c r="C60" s="35"/>
      <c r="D60" s="75"/>
      <c r="E60" s="75"/>
      <c r="F60" s="75"/>
      <c r="G60" s="75"/>
      <c r="H60" s="19"/>
      <c r="I60" s="75"/>
      <c r="J60" s="75"/>
      <c r="K60" s="75"/>
      <c r="L60" s="75"/>
      <c r="M60" s="75"/>
      <c r="N60" s="75"/>
      <c r="O60" s="75"/>
      <c r="P60" s="75"/>
      <c r="Q60" s="75"/>
      <c r="R60" s="38"/>
      <c r="S60" s="75"/>
      <c r="T60" s="75"/>
      <c r="U60" s="75"/>
      <c r="V60" s="75"/>
      <c r="W60" s="16"/>
      <c r="X60" s="9"/>
    </row>
    <row r="61" spans="1:24" s="12" customFormat="1" ht="150" customHeight="1" x14ac:dyDescent="0.25">
      <c r="A61" s="15"/>
      <c r="B61" s="75"/>
      <c r="C61" s="37" t="s">
        <v>1035</v>
      </c>
      <c r="D61" s="300"/>
      <c r="E61" s="301"/>
      <c r="F61" s="301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2"/>
      <c r="W61" s="16"/>
      <c r="X61" s="9"/>
    </row>
    <row r="62" spans="1:24" s="12" customFormat="1" ht="3" customHeight="1" x14ac:dyDescent="0.25">
      <c r="A62" s="15"/>
      <c r="B62" s="75"/>
      <c r="C62" s="35"/>
      <c r="D62" s="75"/>
      <c r="E62" s="75"/>
      <c r="F62" s="75"/>
      <c r="G62" s="75"/>
      <c r="H62" s="19"/>
      <c r="I62" s="75"/>
      <c r="J62" s="75"/>
      <c r="K62" s="75"/>
      <c r="L62" s="75"/>
      <c r="M62" s="75"/>
      <c r="N62" s="75"/>
      <c r="O62" s="75"/>
      <c r="P62" s="75"/>
      <c r="Q62" s="75"/>
      <c r="R62" s="38"/>
      <c r="S62" s="75"/>
      <c r="T62" s="75"/>
      <c r="U62" s="75"/>
      <c r="V62" s="75"/>
      <c r="W62" s="16"/>
      <c r="X62" s="9"/>
    </row>
    <row r="63" spans="1:24" s="12" customFormat="1" ht="3" customHeight="1" x14ac:dyDescent="0.25">
      <c r="A63" s="15"/>
      <c r="B63" s="35"/>
      <c r="C63" s="35"/>
      <c r="D63" s="75"/>
      <c r="E63" s="75"/>
      <c r="F63" s="75"/>
      <c r="G63" s="75"/>
      <c r="H63" s="19"/>
      <c r="I63" s="75"/>
      <c r="J63" s="75"/>
      <c r="K63" s="75"/>
      <c r="L63" s="75"/>
      <c r="M63" s="75"/>
      <c r="N63" s="75"/>
      <c r="O63" s="75"/>
      <c r="P63" s="75"/>
      <c r="Q63" s="75"/>
      <c r="R63" s="38"/>
      <c r="S63" s="75"/>
      <c r="T63" s="75"/>
      <c r="U63" s="75"/>
      <c r="V63" s="75"/>
      <c r="W63" s="16"/>
      <c r="X63" s="9"/>
    </row>
    <row r="64" spans="1:24" s="12" customFormat="1" ht="150" customHeight="1" x14ac:dyDescent="0.25">
      <c r="A64" s="15"/>
      <c r="B64" s="75"/>
      <c r="C64" s="37" t="s">
        <v>317</v>
      </c>
      <c r="D64" s="300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2"/>
      <c r="W64" s="16"/>
      <c r="X64" s="9"/>
    </row>
    <row r="65" spans="1:26" ht="6" customHeight="1" x14ac:dyDescent="0.25">
      <c r="A65" s="144"/>
      <c r="B65" s="144"/>
      <c r="C65" s="144"/>
      <c r="D65" s="70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5"/>
    </row>
    <row r="66" spans="1:26" ht="6" customHeight="1" x14ac:dyDescent="0.25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6"/>
    </row>
    <row r="67" spans="1:26" ht="19.5" customHeight="1" x14ac:dyDescent="0.25">
      <c r="A67" s="141"/>
      <c r="B67" s="293" t="s">
        <v>373</v>
      </c>
      <c r="C67" s="293"/>
      <c r="D67" s="141" t="s">
        <v>369</v>
      </c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6"/>
    </row>
    <row r="68" spans="1:26" ht="19.5" customHeight="1" x14ac:dyDescent="0.25">
      <c r="A68" s="141"/>
      <c r="B68" s="141"/>
      <c r="C68" s="141"/>
      <c r="D68" s="141" t="s">
        <v>370</v>
      </c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6"/>
    </row>
    <row r="69" spans="1:26" ht="19.5" customHeight="1" x14ac:dyDescent="0.25">
      <c r="A69" s="141"/>
      <c r="B69" s="141"/>
      <c r="C69" s="141"/>
      <c r="D69" s="141" t="s">
        <v>371</v>
      </c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6"/>
    </row>
    <row r="70" spans="1:26" ht="19.5" customHeight="1" x14ac:dyDescent="0.25">
      <c r="A70" s="141"/>
      <c r="B70" s="141"/>
      <c r="C70" s="141"/>
      <c r="D70" s="141" t="s">
        <v>372</v>
      </c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6"/>
    </row>
    <row r="71" spans="1:26" ht="6" customHeight="1" x14ac:dyDescent="0.25">
      <c r="A71" s="144"/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5"/>
    </row>
    <row r="72" spans="1:26" s="12" customFormat="1" ht="6.75" customHeight="1" x14ac:dyDescent="0.25">
      <c r="A72" s="75"/>
      <c r="B72" s="75"/>
      <c r="C72" s="37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16"/>
      <c r="X72" s="9"/>
    </row>
    <row r="73" spans="1:26" ht="19.5" customHeight="1" x14ac:dyDescent="0.25">
      <c r="A73" s="141"/>
      <c r="B73" s="21"/>
      <c r="C73" s="21" t="s">
        <v>374</v>
      </c>
      <c r="D73" s="33" t="s">
        <v>375</v>
      </c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6"/>
    </row>
    <row r="74" spans="1:26" ht="19.5" customHeight="1" x14ac:dyDescent="0.25">
      <c r="A74" s="141"/>
      <c r="B74" s="141"/>
      <c r="C74" s="141"/>
      <c r="D74" s="33" t="s">
        <v>376</v>
      </c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6"/>
    </row>
    <row r="75" spans="1:26" ht="19.5" customHeight="1" x14ac:dyDescent="0.25">
      <c r="A75" s="141"/>
      <c r="B75" s="141"/>
      <c r="C75" s="141"/>
      <c r="D75" s="33" t="s">
        <v>377</v>
      </c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6"/>
      <c r="Z75" s="12"/>
    </row>
    <row r="76" spans="1:26" ht="19.5" customHeight="1" x14ac:dyDescent="0.25">
      <c r="A76" s="141"/>
      <c r="B76" s="141"/>
      <c r="C76" s="141"/>
      <c r="D76" s="33" t="s">
        <v>378</v>
      </c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6"/>
    </row>
    <row r="77" spans="1:26" ht="19.5" customHeight="1" x14ac:dyDescent="0.25">
      <c r="A77" s="141"/>
      <c r="B77" s="141"/>
      <c r="C77" s="141"/>
      <c r="D77" s="141" t="s">
        <v>379</v>
      </c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6"/>
    </row>
    <row r="78" spans="1:26" ht="19.5" customHeight="1" x14ac:dyDescent="0.25">
      <c r="A78" s="141"/>
      <c r="B78" s="141"/>
      <c r="C78" s="141"/>
      <c r="D78" s="141" t="s">
        <v>380</v>
      </c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6"/>
    </row>
    <row r="79" spans="1:26" ht="20.25" customHeight="1" x14ac:dyDescent="0.25">
      <c r="A79" s="141"/>
      <c r="B79" s="141"/>
      <c r="C79" s="141"/>
      <c r="D79" s="141" t="s">
        <v>381</v>
      </c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6"/>
    </row>
    <row r="80" spans="1:26" ht="5.25" customHeight="1" x14ac:dyDescent="0.25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6"/>
    </row>
    <row r="81" spans="1:24" ht="12" customHeight="1" x14ac:dyDescent="0.25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16"/>
    </row>
    <row r="82" spans="1:24" s="12" customFormat="1" ht="16.5" customHeight="1" x14ac:dyDescent="0.25">
      <c r="A82" s="15"/>
      <c r="B82" s="141"/>
      <c r="C82" s="21" t="s">
        <v>388</v>
      </c>
      <c r="D82" s="141"/>
      <c r="E82" s="141"/>
      <c r="F82" s="90"/>
      <c r="G82" s="90"/>
      <c r="H82" s="38"/>
      <c r="I82" s="38"/>
      <c r="J82" s="141"/>
      <c r="K82" s="141"/>
      <c r="L82" s="141"/>
      <c r="M82" s="288"/>
      <c r="N82" s="288"/>
      <c r="O82" s="288"/>
      <c r="P82" s="141"/>
      <c r="Q82" s="141"/>
      <c r="R82" s="141"/>
      <c r="S82" s="141"/>
      <c r="T82" s="333"/>
      <c r="U82" s="333"/>
      <c r="V82" s="333"/>
      <c r="W82" s="16"/>
      <c r="X82" s="9"/>
    </row>
    <row r="83" spans="1:24" s="12" customFormat="1" ht="6" customHeight="1" x14ac:dyDescent="0.25">
      <c r="A83" s="15"/>
      <c r="B83" s="141"/>
      <c r="C83" s="35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6"/>
      <c r="X83" s="9"/>
    </row>
    <row r="84" spans="1:24" s="12" customFormat="1" ht="16.5" customHeight="1" x14ac:dyDescent="0.25">
      <c r="A84" s="15"/>
      <c r="B84" s="75"/>
      <c r="C84" s="21" t="s">
        <v>157</v>
      </c>
      <c r="D84" s="75"/>
      <c r="E84" s="75"/>
      <c r="F84" s="9"/>
      <c r="G84" s="9"/>
      <c r="H84" s="8"/>
      <c r="I84" s="8" t="s">
        <v>206</v>
      </c>
      <c r="J84" s="278"/>
      <c r="K84" s="279"/>
      <c r="L84" s="280"/>
      <c r="M84" s="288"/>
      <c r="N84" s="288"/>
      <c r="O84" s="288"/>
      <c r="P84" s="75"/>
      <c r="Q84" s="75"/>
      <c r="R84" s="75"/>
      <c r="S84" s="75"/>
      <c r="T84" s="333"/>
      <c r="U84" s="333"/>
      <c r="V84" s="333"/>
      <c r="W84" s="16"/>
      <c r="X84" s="9"/>
    </row>
    <row r="85" spans="1:24" s="12" customFormat="1" ht="3" customHeight="1" x14ac:dyDescent="0.25">
      <c r="A85" s="15"/>
      <c r="B85" s="35"/>
      <c r="C85" s="35"/>
      <c r="D85" s="75"/>
      <c r="E85" s="75"/>
      <c r="F85" s="75"/>
      <c r="G85" s="75"/>
      <c r="H85" s="19"/>
      <c r="I85" s="75"/>
      <c r="J85" s="75"/>
      <c r="K85" s="75"/>
      <c r="L85" s="75"/>
      <c r="M85" s="75"/>
      <c r="N85" s="75"/>
      <c r="O85" s="75"/>
      <c r="P85" s="75"/>
      <c r="Q85" s="75"/>
      <c r="R85" s="38"/>
      <c r="S85" s="75"/>
      <c r="T85" s="75"/>
      <c r="U85" s="75"/>
      <c r="V85" s="75"/>
      <c r="W85" s="16"/>
      <c r="X85" s="9"/>
    </row>
    <row r="86" spans="1:24" s="12" customFormat="1" ht="60" customHeight="1" x14ac:dyDescent="0.25">
      <c r="A86" s="336" t="s">
        <v>450</v>
      </c>
      <c r="B86" s="337"/>
      <c r="C86" s="338"/>
      <c r="D86" s="300"/>
      <c r="E86" s="301"/>
      <c r="F86" s="301"/>
      <c r="G86" s="301"/>
      <c r="H86" s="301"/>
      <c r="I86" s="301"/>
      <c r="J86" s="301"/>
      <c r="K86" s="301"/>
      <c r="L86" s="301"/>
      <c r="M86" s="301"/>
      <c r="N86" s="301"/>
      <c r="O86" s="301"/>
      <c r="P86" s="301"/>
      <c r="Q86" s="301"/>
      <c r="R86" s="301"/>
      <c r="S86" s="301"/>
      <c r="T86" s="301"/>
      <c r="U86" s="301"/>
      <c r="V86" s="302"/>
      <c r="W86" s="16"/>
      <c r="X86" s="9"/>
    </row>
    <row r="87" spans="1:24" s="12" customFormat="1" ht="8.25" customHeight="1" x14ac:dyDescent="0.25">
      <c r="A87" s="15"/>
      <c r="B87" s="75"/>
      <c r="C87" s="3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16"/>
      <c r="X87" s="9"/>
    </row>
    <row r="88" spans="1:24" s="12" customFormat="1" ht="16.5" customHeight="1" x14ac:dyDescent="0.25">
      <c r="A88" s="15"/>
      <c r="B88" s="75"/>
      <c r="C88" s="21" t="s">
        <v>158</v>
      </c>
      <c r="D88" s="319"/>
      <c r="E88" s="320"/>
      <c r="F88" s="320"/>
      <c r="G88" s="320"/>
      <c r="H88" s="320"/>
      <c r="I88" s="320"/>
      <c r="J88" s="320"/>
      <c r="K88" s="320"/>
      <c r="L88" s="320"/>
      <c r="M88" s="320"/>
      <c r="N88" s="320"/>
      <c r="O88" s="320"/>
      <c r="P88" s="320"/>
      <c r="Q88" s="320"/>
      <c r="R88" s="320"/>
      <c r="S88" s="320"/>
      <c r="T88" s="320"/>
      <c r="U88" s="320"/>
      <c r="V88" s="321"/>
      <c r="W88" s="16"/>
      <c r="X88" s="9"/>
    </row>
    <row r="89" spans="1:24" s="12" customFormat="1" ht="3" customHeight="1" x14ac:dyDescent="0.25">
      <c r="A89" s="15"/>
      <c r="B89" s="75"/>
      <c r="C89" s="3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16"/>
      <c r="X89" s="9"/>
    </row>
    <row r="90" spans="1:24" s="12" customFormat="1" ht="16.5" customHeight="1" x14ac:dyDescent="0.25">
      <c r="A90" s="15"/>
      <c r="B90" s="75"/>
      <c r="C90" s="21" t="s">
        <v>159</v>
      </c>
      <c r="D90" s="294"/>
      <c r="E90" s="295"/>
      <c r="F90" s="295"/>
      <c r="G90" s="295"/>
      <c r="H90" s="295"/>
      <c r="I90" s="295"/>
      <c r="J90" s="295"/>
      <c r="K90" s="295"/>
      <c r="L90" s="295"/>
      <c r="M90" s="295"/>
      <c r="N90" s="295"/>
      <c r="O90" s="295"/>
      <c r="P90" s="295"/>
      <c r="Q90" s="295"/>
      <c r="R90" s="295"/>
      <c r="S90" s="295"/>
      <c r="T90" s="295"/>
      <c r="U90" s="295"/>
      <c r="V90" s="296"/>
      <c r="W90" s="16"/>
      <c r="X90" s="9"/>
    </row>
    <row r="91" spans="1:24" s="12" customFormat="1" ht="3" customHeight="1" x14ac:dyDescent="0.25">
      <c r="A91" s="15"/>
      <c r="B91" s="75"/>
      <c r="C91" s="3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16"/>
      <c r="X91" s="9"/>
    </row>
    <row r="92" spans="1:24" s="12" customFormat="1" ht="24.95" customHeight="1" x14ac:dyDescent="0.25">
      <c r="A92" s="15"/>
      <c r="B92" s="75"/>
      <c r="C92" s="60" t="s">
        <v>160</v>
      </c>
      <c r="D92" s="325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7"/>
      <c r="W92" s="16"/>
      <c r="X92" s="9"/>
    </row>
    <row r="93" spans="1:24" s="12" customFormat="1" ht="3" customHeight="1" x14ac:dyDescent="0.25">
      <c r="A93" s="15"/>
      <c r="B93" s="75"/>
      <c r="C93" s="3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16"/>
      <c r="X93" s="9"/>
    </row>
    <row r="94" spans="1:24" s="12" customFormat="1" ht="9.75" customHeight="1" thickBot="1" x14ac:dyDescent="0.3">
      <c r="A94" s="25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8"/>
      <c r="X94" s="9"/>
    </row>
    <row r="95" spans="1:24" s="12" customFormat="1" ht="9.75" customHeight="1" x14ac:dyDescent="0.25">
      <c r="A95" s="1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16"/>
      <c r="X95" s="9"/>
    </row>
    <row r="96" spans="1:24" s="12" customFormat="1" ht="3.95" customHeight="1" x14ac:dyDescent="0.25">
      <c r="A96" s="1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16"/>
      <c r="X96" s="9"/>
    </row>
    <row r="97" spans="1:24" s="12" customFormat="1" ht="15" customHeight="1" x14ac:dyDescent="0.25">
      <c r="A97" s="15"/>
      <c r="B97" s="75"/>
      <c r="C97" s="38" t="s">
        <v>135</v>
      </c>
      <c r="D97" s="287" t="s">
        <v>136</v>
      </c>
      <c r="E97" s="287"/>
      <c r="F97" s="287"/>
      <c r="G97" s="287"/>
      <c r="H97" s="287"/>
      <c r="I97" s="75"/>
      <c r="J97" s="29"/>
      <c r="K97" s="287" t="s">
        <v>137</v>
      </c>
      <c r="L97" s="287"/>
      <c r="M97" s="287"/>
      <c r="N97" s="287"/>
      <c r="O97" s="287"/>
      <c r="P97" s="75"/>
      <c r="Q97" s="29"/>
      <c r="R97" s="287" t="s">
        <v>138</v>
      </c>
      <c r="S97" s="287"/>
      <c r="T97" s="287"/>
      <c r="U97" s="287"/>
      <c r="V97" s="287"/>
      <c r="W97" s="16"/>
      <c r="X97" s="9"/>
    </row>
    <row r="98" spans="1:24" s="12" customFormat="1" ht="3.95" customHeight="1" x14ac:dyDescent="0.25">
      <c r="A98" s="15"/>
      <c r="B98" s="75"/>
      <c r="C98" s="75"/>
      <c r="D98" s="75"/>
      <c r="E98" s="75"/>
      <c r="F98" s="75"/>
      <c r="G98" s="75"/>
      <c r="H98" s="75"/>
      <c r="I98" s="75"/>
      <c r="J98" s="29"/>
      <c r="K98" s="75"/>
      <c r="L98" s="75"/>
      <c r="M98" s="75"/>
      <c r="N98" s="75"/>
      <c r="O98" s="75"/>
      <c r="P98" s="75"/>
      <c r="Q98" s="29"/>
      <c r="R98" s="75"/>
      <c r="S98" s="75"/>
      <c r="T98" s="75"/>
      <c r="U98" s="75"/>
      <c r="V98" s="75"/>
      <c r="W98" s="16"/>
      <c r="X98" s="102"/>
    </row>
    <row r="99" spans="1:24" s="12" customFormat="1" ht="16.5" customHeight="1" x14ac:dyDescent="0.25">
      <c r="A99" s="15"/>
      <c r="B99" s="243"/>
      <c r="C99" s="38" t="s">
        <v>1054</v>
      </c>
      <c r="D99" s="278"/>
      <c r="E99" s="279"/>
      <c r="F99" s="280"/>
      <c r="G99" s="243"/>
      <c r="H99" s="243"/>
      <c r="I99" s="243"/>
      <c r="J99" s="29"/>
      <c r="K99" s="278"/>
      <c r="L99" s="279"/>
      <c r="M99" s="280"/>
      <c r="N99" s="243"/>
      <c r="O99" s="243"/>
      <c r="P99" s="243"/>
      <c r="Q99" s="29"/>
      <c r="R99" s="278"/>
      <c r="S99" s="279"/>
      <c r="T99" s="280"/>
      <c r="U99" s="243"/>
      <c r="V99" s="243"/>
      <c r="W99" s="16"/>
      <c r="X99" s="102"/>
    </row>
    <row r="100" spans="1:24" s="12" customFormat="1" ht="5.0999999999999996" customHeight="1" x14ac:dyDescent="0.25">
      <c r="A100" s="15"/>
      <c r="B100" s="243"/>
      <c r="C100" s="243"/>
      <c r="D100" s="243"/>
      <c r="E100" s="243"/>
      <c r="F100" s="243"/>
      <c r="G100" s="243"/>
      <c r="H100" s="243"/>
      <c r="I100" s="243"/>
      <c r="J100" s="29"/>
      <c r="K100" s="243"/>
      <c r="L100" s="243"/>
      <c r="M100" s="243"/>
      <c r="N100" s="243"/>
      <c r="O100" s="243"/>
      <c r="P100" s="243"/>
      <c r="Q100" s="29"/>
      <c r="R100" s="243"/>
      <c r="S100" s="243"/>
      <c r="T100" s="243"/>
      <c r="U100" s="243"/>
      <c r="V100" s="243"/>
      <c r="W100" s="16"/>
      <c r="X100" s="102"/>
    </row>
    <row r="101" spans="1:24" s="12" customFormat="1" ht="16.5" customHeight="1" x14ac:dyDescent="0.25">
      <c r="A101" s="15"/>
      <c r="B101" s="243"/>
      <c r="C101" s="38" t="s">
        <v>1055</v>
      </c>
      <c r="D101" s="281">
        <f>Progress!D56</f>
        <v>0</v>
      </c>
      <c r="E101" s="282"/>
      <c r="F101" s="283"/>
      <c r="G101" s="243"/>
      <c r="H101" s="243"/>
      <c r="I101" s="243"/>
      <c r="J101" s="29"/>
      <c r="K101" s="281">
        <f>Progress!K56</f>
        <v>0</v>
      </c>
      <c r="L101" s="282"/>
      <c r="M101" s="283"/>
      <c r="N101" s="243"/>
      <c r="O101" s="243"/>
      <c r="P101" s="243"/>
      <c r="Q101" s="29"/>
      <c r="R101" s="281">
        <f>Progress!R56</f>
        <v>0</v>
      </c>
      <c r="S101" s="282"/>
      <c r="T101" s="283"/>
      <c r="U101" s="243"/>
      <c r="V101" s="243"/>
      <c r="W101" s="16"/>
      <c r="X101" s="102"/>
    </row>
    <row r="102" spans="1:24" s="12" customFormat="1" ht="3.95" customHeight="1" x14ac:dyDescent="0.25">
      <c r="A102" s="15"/>
      <c r="B102" s="243"/>
      <c r="C102" s="243"/>
      <c r="D102" s="243"/>
      <c r="E102" s="243"/>
      <c r="F102" s="243"/>
      <c r="G102" s="243"/>
      <c r="H102" s="243"/>
      <c r="I102" s="243"/>
      <c r="J102" s="29"/>
      <c r="K102" s="243"/>
      <c r="L102" s="243"/>
      <c r="M102" s="243"/>
      <c r="N102" s="243"/>
      <c r="O102" s="243"/>
      <c r="P102" s="243"/>
      <c r="Q102" s="29"/>
      <c r="R102" s="243"/>
      <c r="S102" s="243"/>
      <c r="T102" s="243"/>
      <c r="U102" s="243"/>
      <c r="V102" s="243"/>
      <c r="W102" s="16"/>
      <c r="X102" s="102"/>
    </row>
    <row r="103" spans="1:24" s="12" customFormat="1" x14ac:dyDescent="0.25">
      <c r="A103" s="15"/>
      <c r="B103" s="75"/>
      <c r="C103" s="38" t="s">
        <v>106</v>
      </c>
      <c r="D103" s="284"/>
      <c r="E103" s="285"/>
      <c r="F103" s="285"/>
      <c r="G103" s="285"/>
      <c r="H103" s="286"/>
      <c r="I103" s="75"/>
      <c r="J103" s="29"/>
      <c r="K103" s="284"/>
      <c r="L103" s="285"/>
      <c r="M103" s="285"/>
      <c r="N103" s="285"/>
      <c r="O103" s="286"/>
      <c r="P103" s="75"/>
      <c r="Q103" s="29"/>
      <c r="R103" s="284"/>
      <c r="S103" s="285"/>
      <c r="T103" s="285"/>
      <c r="U103" s="285"/>
      <c r="V103" s="286"/>
      <c r="W103" s="16"/>
      <c r="X103" s="102"/>
    </row>
    <row r="104" spans="1:24" s="12" customFormat="1" ht="5.0999999999999996" customHeight="1" x14ac:dyDescent="0.25">
      <c r="A104" s="15"/>
      <c r="B104" s="75"/>
      <c r="C104" s="75"/>
      <c r="D104" s="75"/>
      <c r="E104" s="75"/>
      <c r="F104" s="75"/>
      <c r="G104" s="75"/>
      <c r="H104" s="75"/>
      <c r="I104" s="75"/>
      <c r="J104" s="29"/>
      <c r="K104" s="75"/>
      <c r="L104" s="75"/>
      <c r="M104" s="75"/>
      <c r="N104" s="75"/>
      <c r="O104" s="75"/>
      <c r="P104" s="75"/>
      <c r="Q104" s="29"/>
      <c r="R104" s="75"/>
      <c r="S104" s="75"/>
      <c r="T104" s="75"/>
      <c r="U104" s="75"/>
      <c r="V104" s="75"/>
      <c r="W104" s="16"/>
      <c r="X104" s="9"/>
    </row>
    <row r="105" spans="1:24" s="12" customFormat="1" x14ac:dyDescent="0.25">
      <c r="A105" s="15"/>
      <c r="B105" s="75"/>
      <c r="C105" s="38" t="s">
        <v>1052</v>
      </c>
      <c r="D105" s="284"/>
      <c r="E105" s="285"/>
      <c r="F105" s="285"/>
      <c r="G105" s="285"/>
      <c r="H105" s="286"/>
      <c r="I105" s="75"/>
      <c r="J105" s="29"/>
      <c r="K105" s="284"/>
      <c r="L105" s="285"/>
      <c r="M105" s="285"/>
      <c r="N105" s="285"/>
      <c r="O105" s="286"/>
      <c r="P105" s="75"/>
      <c r="Q105" s="29"/>
      <c r="R105" s="284"/>
      <c r="S105" s="285"/>
      <c r="T105" s="285"/>
      <c r="U105" s="285"/>
      <c r="V105" s="286"/>
      <c r="W105" s="16"/>
      <c r="X105" s="9"/>
    </row>
    <row r="106" spans="1:24" s="12" customFormat="1" ht="3.95" customHeight="1" x14ac:dyDescent="0.25">
      <c r="A106" s="15"/>
      <c r="B106" s="75"/>
      <c r="C106" s="75"/>
      <c r="D106" s="75"/>
      <c r="E106" s="75"/>
      <c r="F106" s="75"/>
      <c r="G106" s="75"/>
      <c r="H106" s="75"/>
      <c r="I106" s="75"/>
      <c r="J106" s="29"/>
      <c r="K106" s="75"/>
      <c r="L106" s="75"/>
      <c r="M106" s="75"/>
      <c r="N106" s="75"/>
      <c r="O106" s="75"/>
      <c r="P106" s="75"/>
      <c r="Q106" s="29"/>
      <c r="R106" s="75"/>
      <c r="S106" s="75"/>
      <c r="T106" s="75"/>
      <c r="U106" s="75"/>
      <c r="V106" s="75"/>
      <c r="W106" s="16"/>
      <c r="X106" s="9"/>
    </row>
    <row r="107" spans="1:24" s="12" customFormat="1" ht="32.1" customHeight="1" x14ac:dyDescent="0.25">
      <c r="A107" s="15"/>
      <c r="B107" s="75"/>
      <c r="C107" s="38" t="s">
        <v>139</v>
      </c>
      <c r="D107" s="300"/>
      <c r="E107" s="301"/>
      <c r="F107" s="301"/>
      <c r="G107" s="301"/>
      <c r="H107" s="302"/>
      <c r="I107" s="39"/>
      <c r="J107" s="40"/>
      <c r="K107" s="300"/>
      <c r="L107" s="301"/>
      <c r="M107" s="301"/>
      <c r="N107" s="301"/>
      <c r="O107" s="302"/>
      <c r="P107" s="39"/>
      <c r="Q107" s="40"/>
      <c r="R107" s="300"/>
      <c r="S107" s="301"/>
      <c r="T107" s="301"/>
      <c r="U107" s="301"/>
      <c r="V107" s="302"/>
      <c r="W107" s="16"/>
      <c r="X107" s="102"/>
    </row>
    <row r="108" spans="1:24" s="12" customFormat="1" ht="5.0999999999999996" customHeight="1" x14ac:dyDescent="0.25">
      <c r="A108" s="15"/>
      <c r="B108" s="75"/>
      <c r="C108" s="75"/>
      <c r="D108" s="75"/>
      <c r="E108" s="75"/>
      <c r="F108" s="75"/>
      <c r="G108" s="75"/>
      <c r="H108" s="75"/>
      <c r="I108" s="75"/>
      <c r="J108" s="29"/>
      <c r="K108" s="75"/>
      <c r="L108" s="75"/>
      <c r="M108" s="75"/>
      <c r="N108" s="75"/>
      <c r="O108" s="75"/>
      <c r="P108" s="75"/>
      <c r="Q108" s="29"/>
      <c r="R108" s="75"/>
      <c r="S108" s="75"/>
      <c r="T108" s="75"/>
      <c r="U108" s="75"/>
      <c r="V108" s="75"/>
      <c r="W108" s="16"/>
      <c r="X108" s="9"/>
    </row>
    <row r="109" spans="1:24" s="12" customFormat="1" ht="32.1" customHeight="1" x14ac:dyDescent="0.25">
      <c r="A109" s="15"/>
      <c r="B109" s="75"/>
      <c r="C109" s="38" t="s">
        <v>225</v>
      </c>
      <c r="D109" s="300"/>
      <c r="E109" s="301"/>
      <c r="F109" s="301"/>
      <c r="G109" s="301"/>
      <c r="H109" s="302"/>
      <c r="I109" s="39"/>
      <c r="J109" s="40"/>
      <c r="K109" s="300"/>
      <c r="L109" s="301"/>
      <c r="M109" s="301"/>
      <c r="N109" s="301"/>
      <c r="O109" s="302"/>
      <c r="P109" s="39"/>
      <c r="Q109" s="40"/>
      <c r="R109" s="300"/>
      <c r="S109" s="301"/>
      <c r="T109" s="301"/>
      <c r="U109" s="301"/>
      <c r="V109" s="302"/>
      <c r="W109" s="16"/>
      <c r="X109" s="102"/>
    </row>
    <row r="110" spans="1:24" s="12" customFormat="1" ht="5.0999999999999996" customHeight="1" x14ac:dyDescent="0.25">
      <c r="A110" s="15"/>
      <c r="B110" s="75"/>
      <c r="C110" s="75"/>
      <c r="D110" s="75"/>
      <c r="E110" s="75"/>
      <c r="F110" s="75"/>
      <c r="G110" s="75"/>
      <c r="H110" s="75"/>
      <c r="I110" s="75"/>
      <c r="J110" s="29"/>
      <c r="K110" s="75"/>
      <c r="L110" s="75"/>
      <c r="M110" s="75"/>
      <c r="N110" s="75"/>
      <c r="O110" s="75"/>
      <c r="P110" s="75"/>
      <c r="Q110" s="29"/>
      <c r="R110" s="75"/>
      <c r="S110" s="75"/>
      <c r="T110" s="75"/>
      <c r="U110" s="75"/>
      <c r="V110" s="75"/>
      <c r="W110" s="16"/>
      <c r="X110" s="9"/>
    </row>
    <row r="111" spans="1:24" s="12" customFormat="1" ht="32.1" customHeight="1" x14ac:dyDescent="0.25">
      <c r="A111" s="15"/>
      <c r="B111" s="75"/>
      <c r="C111" s="38" t="s">
        <v>140</v>
      </c>
      <c r="D111" s="300"/>
      <c r="E111" s="301"/>
      <c r="F111" s="301"/>
      <c r="G111" s="301"/>
      <c r="H111" s="302"/>
      <c r="I111" s="75"/>
      <c r="J111" s="29"/>
      <c r="K111" s="300"/>
      <c r="L111" s="301"/>
      <c r="M111" s="301"/>
      <c r="N111" s="301"/>
      <c r="O111" s="302"/>
      <c r="P111" s="75"/>
      <c r="Q111" s="29"/>
      <c r="R111" s="300"/>
      <c r="S111" s="301"/>
      <c r="T111" s="301"/>
      <c r="U111" s="301"/>
      <c r="V111" s="302"/>
      <c r="W111" s="16"/>
      <c r="X111" s="9"/>
    </row>
    <row r="112" spans="1:24" s="12" customFormat="1" ht="5.0999999999999996" customHeight="1" x14ac:dyDescent="0.25">
      <c r="A112" s="15"/>
      <c r="B112" s="75"/>
      <c r="C112" s="75"/>
      <c r="D112" s="75"/>
      <c r="E112" s="75"/>
      <c r="F112" s="75"/>
      <c r="G112" s="75"/>
      <c r="H112" s="75"/>
      <c r="I112" s="75"/>
      <c r="J112" s="29"/>
      <c r="K112" s="75"/>
      <c r="L112" s="75"/>
      <c r="M112" s="75"/>
      <c r="N112" s="75"/>
      <c r="O112" s="75"/>
      <c r="P112" s="75"/>
      <c r="Q112" s="29"/>
      <c r="R112" s="75"/>
      <c r="S112" s="75"/>
      <c r="T112" s="75"/>
      <c r="U112" s="75"/>
      <c r="V112" s="75"/>
      <c r="W112" s="16"/>
      <c r="X112" s="9"/>
    </row>
    <row r="113" spans="1:24" s="12" customFormat="1" x14ac:dyDescent="0.25">
      <c r="A113" s="15"/>
      <c r="B113" s="75"/>
      <c r="C113" s="38" t="s">
        <v>141</v>
      </c>
      <c r="D113" s="284"/>
      <c r="E113" s="285"/>
      <c r="F113" s="286"/>
      <c r="G113" s="75"/>
      <c r="H113" s="75"/>
      <c r="I113" s="75"/>
      <c r="J113" s="29"/>
      <c r="K113" s="284"/>
      <c r="L113" s="285"/>
      <c r="M113" s="286"/>
      <c r="N113" s="75"/>
      <c r="O113" s="75"/>
      <c r="P113" s="75"/>
      <c r="Q113" s="29"/>
      <c r="R113" s="284"/>
      <c r="S113" s="285"/>
      <c r="T113" s="286"/>
      <c r="U113" s="75"/>
      <c r="V113" s="75"/>
      <c r="W113" s="16"/>
      <c r="X113" s="9"/>
    </row>
    <row r="114" spans="1:24" s="12" customFormat="1" ht="3.95" customHeight="1" x14ac:dyDescent="0.25">
      <c r="A114" s="15"/>
      <c r="B114" s="75"/>
      <c r="C114" s="75"/>
      <c r="D114" s="75"/>
      <c r="E114" s="75"/>
      <c r="F114" s="75"/>
      <c r="G114" s="75"/>
      <c r="H114" s="75"/>
      <c r="I114" s="75"/>
      <c r="J114" s="29"/>
      <c r="K114" s="75"/>
      <c r="L114" s="75"/>
      <c r="M114" s="75"/>
      <c r="N114" s="75"/>
      <c r="O114" s="75"/>
      <c r="P114" s="75"/>
      <c r="Q114" s="29"/>
      <c r="R114" s="75"/>
      <c r="S114" s="75"/>
      <c r="T114" s="75"/>
      <c r="U114" s="75"/>
      <c r="V114" s="75"/>
      <c r="W114" s="16"/>
      <c r="X114" s="9"/>
    </row>
    <row r="115" spans="1:24" s="12" customFormat="1" hidden="1" x14ac:dyDescent="0.25">
      <c r="A115" s="15"/>
      <c r="B115" s="75"/>
      <c r="C115" s="38"/>
      <c r="D115" s="9"/>
      <c r="E115" s="75"/>
      <c r="F115" s="90"/>
      <c r="G115" s="75"/>
      <c r="H115" s="75"/>
      <c r="I115" s="75"/>
      <c r="J115" s="29"/>
      <c r="K115" s="9"/>
      <c r="L115" s="75"/>
      <c r="M115" s="75"/>
      <c r="N115" s="75"/>
      <c r="O115" s="75"/>
      <c r="P115" s="75"/>
      <c r="Q115" s="29"/>
      <c r="R115" s="9"/>
      <c r="S115" s="75"/>
      <c r="T115" s="75"/>
      <c r="U115" s="75"/>
      <c r="V115" s="75"/>
      <c r="W115" s="16"/>
      <c r="X115" s="9"/>
    </row>
    <row r="116" spans="1:24" s="12" customFormat="1" hidden="1" x14ac:dyDescent="0.25">
      <c r="A116" s="15"/>
      <c r="B116" s="75"/>
      <c r="C116" s="75"/>
      <c r="D116" s="75"/>
      <c r="E116" s="75"/>
      <c r="F116" s="75"/>
      <c r="G116" s="75"/>
      <c r="H116" s="75"/>
      <c r="I116" s="75"/>
      <c r="J116" s="29"/>
      <c r="K116" s="75"/>
      <c r="L116" s="75"/>
      <c r="M116" s="75"/>
      <c r="N116" s="75"/>
      <c r="O116" s="75"/>
      <c r="P116" s="75"/>
      <c r="Q116" s="29"/>
      <c r="R116" s="75"/>
      <c r="S116" s="75"/>
      <c r="T116" s="75"/>
      <c r="U116" s="75"/>
      <c r="V116" s="75"/>
      <c r="W116" s="16"/>
      <c r="X116" s="9"/>
    </row>
    <row r="117" spans="1:24" s="12" customFormat="1" hidden="1" x14ac:dyDescent="0.25">
      <c r="A117" s="15"/>
      <c r="B117" s="75"/>
      <c r="C117" s="31"/>
      <c r="D117" s="30"/>
      <c r="E117" s="75"/>
      <c r="F117" s="75"/>
      <c r="G117" s="75"/>
      <c r="H117" s="75"/>
      <c r="I117" s="75"/>
      <c r="J117" s="29"/>
      <c r="K117" s="30"/>
      <c r="L117" s="75"/>
      <c r="M117" s="75"/>
      <c r="N117" s="75"/>
      <c r="O117" s="75"/>
      <c r="P117" s="75"/>
      <c r="Q117" s="29"/>
      <c r="R117" s="30"/>
      <c r="S117" s="75"/>
      <c r="T117" s="75"/>
      <c r="U117" s="75"/>
      <c r="V117" s="75"/>
      <c r="W117" s="16"/>
      <c r="X117" s="9"/>
    </row>
    <row r="118" spans="1:24" s="12" customFormat="1" ht="3.95" hidden="1" customHeight="1" x14ac:dyDescent="0.25">
      <c r="A118" s="15"/>
      <c r="B118" s="75"/>
      <c r="C118" s="75"/>
      <c r="D118" s="75"/>
      <c r="E118" s="75"/>
      <c r="F118" s="75"/>
      <c r="G118" s="75"/>
      <c r="H118" s="75"/>
      <c r="I118" s="75"/>
      <c r="J118" s="29"/>
      <c r="K118" s="75"/>
      <c r="L118" s="75"/>
      <c r="M118" s="75"/>
      <c r="N118" s="75"/>
      <c r="O118" s="75"/>
      <c r="P118" s="75"/>
      <c r="Q118" s="29"/>
      <c r="R118" s="75"/>
      <c r="S118" s="75"/>
      <c r="T118" s="75"/>
      <c r="U118" s="75"/>
      <c r="V118" s="75"/>
      <c r="W118" s="16"/>
      <c r="X118" s="9"/>
    </row>
    <row r="119" spans="1:24" s="12" customFormat="1" x14ac:dyDescent="0.25">
      <c r="A119" s="15"/>
      <c r="B119" s="75"/>
      <c r="C119" s="38" t="s">
        <v>142</v>
      </c>
      <c r="D119" s="294"/>
      <c r="E119" s="295"/>
      <c r="F119" s="295"/>
      <c r="G119" s="295"/>
      <c r="H119" s="296"/>
      <c r="I119" s="75"/>
      <c r="J119" s="29"/>
      <c r="K119" s="294"/>
      <c r="L119" s="295"/>
      <c r="M119" s="295"/>
      <c r="N119" s="295"/>
      <c r="O119" s="296"/>
      <c r="P119" s="75"/>
      <c r="Q119" s="29"/>
      <c r="R119" s="294"/>
      <c r="S119" s="295"/>
      <c r="T119" s="295"/>
      <c r="U119" s="295"/>
      <c r="V119" s="296"/>
      <c r="W119" s="16"/>
      <c r="X119" s="9"/>
    </row>
    <row r="120" spans="1:24" s="12" customFormat="1" ht="3.95" customHeight="1" x14ac:dyDescent="0.25">
      <c r="A120" s="15"/>
      <c r="B120" s="75"/>
      <c r="C120" s="75"/>
      <c r="D120" s="75"/>
      <c r="E120" s="75"/>
      <c r="F120" s="75"/>
      <c r="G120" s="75"/>
      <c r="H120" s="75"/>
      <c r="I120" s="75"/>
      <c r="J120" s="29"/>
      <c r="K120" s="75"/>
      <c r="L120" s="75"/>
      <c r="M120" s="75"/>
      <c r="N120" s="75"/>
      <c r="O120" s="75"/>
      <c r="P120" s="75"/>
      <c r="Q120" s="29"/>
      <c r="R120" s="75"/>
      <c r="S120" s="75"/>
      <c r="T120" s="75"/>
      <c r="U120" s="75"/>
      <c r="V120" s="75"/>
      <c r="W120" s="16"/>
      <c r="X120" s="9"/>
    </row>
    <row r="121" spans="1:24" s="12" customFormat="1" x14ac:dyDescent="0.25">
      <c r="A121" s="15"/>
      <c r="B121" s="75"/>
      <c r="C121" s="38" t="s">
        <v>143</v>
      </c>
      <c r="D121" s="294"/>
      <c r="E121" s="295"/>
      <c r="F121" s="296"/>
      <c r="G121" s="20"/>
      <c r="H121" s="20"/>
      <c r="I121" s="75"/>
      <c r="J121" s="29"/>
      <c r="K121" s="294"/>
      <c r="L121" s="295"/>
      <c r="M121" s="296"/>
      <c r="N121" s="20"/>
      <c r="O121" s="20"/>
      <c r="P121" s="75"/>
      <c r="Q121" s="29"/>
      <c r="R121" s="294"/>
      <c r="S121" s="295"/>
      <c r="T121" s="296"/>
      <c r="U121" s="20"/>
      <c r="V121" s="20"/>
      <c r="W121" s="16"/>
      <c r="X121" s="9"/>
    </row>
    <row r="122" spans="1:24" s="12" customFormat="1" ht="3.95" customHeight="1" x14ac:dyDescent="0.25">
      <c r="A122" s="15"/>
      <c r="B122" s="75"/>
      <c r="C122" s="75"/>
      <c r="D122" s="75"/>
      <c r="E122" s="75"/>
      <c r="F122" s="75"/>
      <c r="G122" s="75"/>
      <c r="H122" s="75"/>
      <c r="I122" s="75"/>
      <c r="J122" s="29"/>
      <c r="K122" s="75"/>
      <c r="L122" s="75"/>
      <c r="M122" s="75"/>
      <c r="N122" s="75"/>
      <c r="O122" s="75"/>
      <c r="P122" s="75"/>
      <c r="Q122" s="29"/>
      <c r="R122" s="75"/>
      <c r="S122" s="75"/>
      <c r="T122" s="75"/>
      <c r="U122" s="75"/>
      <c r="V122" s="75"/>
      <c r="W122" s="16"/>
      <c r="X122" s="9"/>
    </row>
    <row r="123" spans="1:24" s="12" customFormat="1" x14ac:dyDescent="0.25">
      <c r="A123" s="15"/>
      <c r="B123" s="75"/>
      <c r="C123" s="21" t="s">
        <v>144</v>
      </c>
      <c r="D123" s="83"/>
      <c r="E123" s="56"/>
      <c r="F123" s="83"/>
      <c r="G123" s="56"/>
      <c r="H123" s="83"/>
      <c r="I123" s="75"/>
      <c r="J123" s="29"/>
      <c r="K123" s="83"/>
      <c r="L123" s="75"/>
      <c r="M123" s="83"/>
      <c r="N123" s="75"/>
      <c r="O123" s="83"/>
      <c r="P123" s="75"/>
      <c r="Q123" s="29"/>
      <c r="R123" s="83"/>
      <c r="S123" s="75"/>
      <c r="T123" s="83"/>
      <c r="U123" s="75"/>
      <c r="V123" s="83"/>
      <c r="W123" s="16"/>
      <c r="X123" s="9"/>
    </row>
    <row r="124" spans="1:24" s="12" customFormat="1" ht="3.95" customHeight="1" x14ac:dyDescent="0.25">
      <c r="A124" s="15"/>
      <c r="B124" s="75"/>
      <c r="C124" s="75"/>
      <c r="D124" s="75"/>
      <c r="E124" s="75"/>
      <c r="F124" s="75"/>
      <c r="G124" s="75"/>
      <c r="H124" s="75"/>
      <c r="I124" s="75"/>
      <c r="J124" s="29"/>
      <c r="K124" s="75"/>
      <c r="L124" s="75"/>
      <c r="M124" s="75"/>
      <c r="N124" s="75"/>
      <c r="O124" s="75"/>
      <c r="P124" s="75"/>
      <c r="Q124" s="29"/>
      <c r="R124" s="75"/>
      <c r="S124" s="75"/>
      <c r="T124" s="75"/>
      <c r="U124" s="75"/>
      <c r="V124" s="75"/>
      <c r="W124" s="16"/>
      <c r="X124" s="9"/>
    </row>
    <row r="125" spans="1:24" s="12" customFormat="1" x14ac:dyDescent="0.25">
      <c r="A125" s="15"/>
      <c r="B125" s="75"/>
      <c r="C125" s="38" t="s">
        <v>145</v>
      </c>
      <c r="D125" s="83"/>
      <c r="E125" s="75"/>
      <c r="F125" s="288"/>
      <c r="G125" s="288"/>
      <c r="H125" s="288"/>
      <c r="I125" s="75"/>
      <c r="J125" s="29"/>
      <c r="K125" s="83"/>
      <c r="L125" s="75"/>
      <c r="M125" s="78"/>
      <c r="N125" s="75"/>
      <c r="O125" s="75"/>
      <c r="P125" s="75"/>
      <c r="Q125" s="29"/>
      <c r="R125" s="83"/>
      <c r="S125" s="75"/>
      <c r="T125" s="78"/>
      <c r="U125" s="75"/>
      <c r="V125" s="75"/>
      <c r="W125" s="16"/>
      <c r="X125" s="9"/>
    </row>
    <row r="126" spans="1:24" s="12" customFormat="1" ht="3.95" customHeight="1" x14ac:dyDescent="0.25">
      <c r="A126" s="15"/>
      <c r="B126" s="75"/>
      <c r="C126" s="75"/>
      <c r="D126" s="75"/>
      <c r="E126" s="75"/>
      <c r="F126" s="288"/>
      <c r="G126" s="288"/>
      <c r="H126" s="288"/>
      <c r="I126" s="75"/>
      <c r="J126" s="29"/>
      <c r="K126" s="75"/>
      <c r="L126" s="75"/>
      <c r="M126" s="75"/>
      <c r="N126" s="75"/>
      <c r="O126" s="75"/>
      <c r="P126" s="75"/>
      <c r="Q126" s="29"/>
      <c r="R126" s="75"/>
      <c r="S126" s="75"/>
      <c r="T126" s="75"/>
      <c r="U126" s="75"/>
      <c r="V126" s="75"/>
      <c r="W126" s="16"/>
      <c r="X126" s="9"/>
    </row>
    <row r="127" spans="1:24" s="12" customFormat="1" ht="16.5" customHeight="1" x14ac:dyDescent="0.25">
      <c r="A127" s="15"/>
      <c r="B127" s="75"/>
      <c r="C127" s="38" t="s">
        <v>146</v>
      </c>
      <c r="D127" s="83"/>
      <c r="E127" s="75"/>
      <c r="F127" s="288"/>
      <c r="G127" s="288"/>
      <c r="H127" s="288"/>
      <c r="I127" s="75"/>
      <c r="J127" s="29"/>
      <c r="K127" s="83"/>
      <c r="L127" s="75"/>
      <c r="M127" s="289"/>
      <c r="N127" s="289"/>
      <c r="O127" s="289"/>
      <c r="P127" s="75"/>
      <c r="Q127" s="29"/>
      <c r="R127" s="83"/>
      <c r="S127" s="75"/>
      <c r="T127" s="289"/>
      <c r="U127" s="289"/>
      <c r="V127" s="289"/>
      <c r="W127" s="16"/>
      <c r="X127" s="9"/>
    </row>
    <row r="128" spans="1:24" s="12" customFormat="1" ht="3.95" customHeight="1" x14ac:dyDescent="0.25">
      <c r="A128" s="15"/>
      <c r="B128" s="75"/>
      <c r="C128" s="75"/>
      <c r="D128" s="75"/>
      <c r="E128" s="75"/>
      <c r="F128" s="75"/>
      <c r="G128" s="75"/>
      <c r="H128" s="75"/>
      <c r="I128" s="75"/>
      <c r="J128" s="29"/>
      <c r="K128" s="75"/>
      <c r="L128" s="75"/>
      <c r="M128" s="75"/>
      <c r="N128" s="75"/>
      <c r="O128" s="75"/>
      <c r="P128" s="75"/>
      <c r="Q128" s="29"/>
      <c r="R128" s="75"/>
      <c r="S128" s="75"/>
      <c r="T128" s="75"/>
      <c r="U128" s="75"/>
      <c r="V128" s="75"/>
      <c r="W128" s="16"/>
      <c r="X128" s="9"/>
    </row>
    <row r="129" spans="1:25" s="12" customFormat="1" x14ac:dyDescent="0.25">
      <c r="A129" s="15"/>
      <c r="B129" s="75"/>
      <c r="C129" s="38" t="s">
        <v>147</v>
      </c>
      <c r="D129" s="278"/>
      <c r="E129" s="279"/>
      <c r="F129" s="280"/>
      <c r="G129" s="209"/>
      <c r="H129" s="209"/>
      <c r="I129" s="75"/>
      <c r="J129" s="29"/>
      <c r="K129" s="278"/>
      <c r="L129" s="279"/>
      <c r="M129" s="280"/>
      <c r="N129" s="209"/>
      <c r="O129" s="209"/>
      <c r="P129" s="75"/>
      <c r="Q129" s="29"/>
      <c r="R129" s="278"/>
      <c r="S129" s="279"/>
      <c r="T129" s="280"/>
      <c r="U129" s="209"/>
      <c r="V129" s="209"/>
      <c r="W129" s="16"/>
      <c r="X129" s="9"/>
    </row>
    <row r="130" spans="1:25" s="12" customFormat="1" ht="3.95" customHeight="1" x14ac:dyDescent="0.25">
      <c r="A130" s="15"/>
      <c r="B130" s="75"/>
      <c r="C130" s="75"/>
      <c r="D130" s="75"/>
      <c r="E130" s="75"/>
      <c r="F130" s="75"/>
      <c r="G130" s="75"/>
      <c r="H130" s="75"/>
      <c r="I130" s="75"/>
      <c r="J130" s="29"/>
      <c r="K130" s="75"/>
      <c r="L130" s="75"/>
      <c r="M130" s="75"/>
      <c r="N130" s="75"/>
      <c r="O130" s="75"/>
      <c r="P130" s="75"/>
      <c r="Q130" s="29"/>
      <c r="R130" s="75"/>
      <c r="S130" s="75"/>
      <c r="T130" s="75"/>
      <c r="U130" s="75"/>
      <c r="V130" s="75"/>
      <c r="W130" s="16"/>
      <c r="X130" s="9"/>
    </row>
    <row r="131" spans="1:25" s="12" customFormat="1" x14ac:dyDescent="0.25">
      <c r="A131" s="15"/>
      <c r="B131" s="75"/>
      <c r="C131" s="38" t="s">
        <v>148</v>
      </c>
      <c r="D131" s="30" t="s">
        <v>149</v>
      </c>
      <c r="E131" s="20"/>
      <c r="F131" s="30" t="s">
        <v>192</v>
      </c>
      <c r="G131" s="32"/>
      <c r="H131" s="20"/>
      <c r="I131" s="75"/>
      <c r="J131" s="29"/>
      <c r="K131" s="30" t="s">
        <v>149</v>
      </c>
      <c r="L131" s="20"/>
      <c r="M131" s="30" t="s">
        <v>1038</v>
      </c>
      <c r="N131" s="32"/>
      <c r="O131" s="20"/>
      <c r="P131" s="75"/>
      <c r="Q131" s="29"/>
      <c r="R131" s="30" t="s">
        <v>149</v>
      </c>
      <c r="S131" s="20"/>
      <c r="T131" s="30" t="s">
        <v>192</v>
      </c>
      <c r="U131" s="32"/>
      <c r="V131" s="20"/>
      <c r="W131" s="16"/>
      <c r="X131" s="9"/>
    </row>
    <row r="132" spans="1:25" s="12" customFormat="1" ht="16.5" customHeight="1" x14ac:dyDescent="0.25">
      <c r="A132" s="15"/>
      <c r="B132" s="75"/>
      <c r="C132" s="75"/>
      <c r="D132" s="33" t="s">
        <v>150</v>
      </c>
      <c r="E132" s="75"/>
      <c r="F132" s="34" t="s">
        <v>190</v>
      </c>
      <c r="G132" s="75"/>
      <c r="H132" s="75"/>
      <c r="I132" s="75"/>
      <c r="J132" s="29"/>
      <c r="K132" s="33" t="s">
        <v>150</v>
      </c>
      <c r="L132" s="75"/>
      <c r="M132" s="34" t="s">
        <v>382</v>
      </c>
      <c r="N132" s="75"/>
      <c r="O132" s="75"/>
      <c r="P132" s="75"/>
      <c r="Q132" s="29"/>
      <c r="R132" s="33" t="s">
        <v>150</v>
      </c>
      <c r="S132" s="75"/>
      <c r="T132" s="34" t="s">
        <v>190</v>
      </c>
      <c r="U132" s="75"/>
      <c r="V132" s="75"/>
      <c r="W132" s="16"/>
      <c r="X132" s="9"/>
      <c r="Y132" s="64"/>
    </row>
    <row r="133" spans="1:25" s="12" customFormat="1" ht="17.25" customHeight="1" x14ac:dyDescent="0.3">
      <c r="A133" s="15"/>
      <c r="B133" s="75"/>
      <c r="C133" s="75"/>
      <c r="D133" s="9"/>
      <c r="E133" s="75"/>
      <c r="F133" s="34" t="s">
        <v>189</v>
      </c>
      <c r="G133" s="75"/>
      <c r="H133" s="75"/>
      <c r="I133" s="75"/>
      <c r="J133" s="29"/>
      <c r="K133" s="33"/>
      <c r="L133" s="75"/>
      <c r="M133" s="75" t="s">
        <v>1039</v>
      </c>
      <c r="N133" s="75"/>
      <c r="O133" s="75"/>
      <c r="P133" s="75"/>
      <c r="Q133" s="29"/>
      <c r="R133" s="20"/>
      <c r="S133" s="75"/>
      <c r="T133" s="69" t="s">
        <v>191</v>
      </c>
      <c r="U133" s="75"/>
      <c r="V133" s="75"/>
      <c r="W133" s="16"/>
      <c r="X133" s="9"/>
    </row>
    <row r="134" spans="1:25" s="12" customFormat="1" ht="9.75" customHeight="1" x14ac:dyDescent="0.25">
      <c r="A134" s="15"/>
      <c r="B134" s="75"/>
      <c r="C134" s="75"/>
      <c r="D134" s="75"/>
      <c r="E134" s="75"/>
      <c r="F134" s="75"/>
      <c r="G134" s="75"/>
      <c r="H134" s="75"/>
      <c r="I134" s="75"/>
      <c r="J134" s="29"/>
      <c r="K134" s="75"/>
      <c r="L134" s="75"/>
      <c r="M134" s="75"/>
      <c r="N134" s="75"/>
      <c r="O134" s="75"/>
      <c r="P134" s="75"/>
      <c r="Q134" s="29"/>
      <c r="R134" s="75"/>
      <c r="S134" s="75"/>
      <c r="T134" s="75"/>
      <c r="U134" s="75"/>
      <c r="V134" s="75"/>
      <c r="W134" s="16"/>
      <c r="X134" s="9"/>
    </row>
    <row r="135" spans="1:25" s="12" customFormat="1" ht="16.5" customHeight="1" x14ac:dyDescent="0.25">
      <c r="A135" s="15"/>
      <c r="B135" s="75"/>
      <c r="C135" s="38" t="s">
        <v>151</v>
      </c>
      <c r="D135" s="30" t="s">
        <v>152</v>
      </c>
      <c r="E135" s="20"/>
      <c r="F135" s="20"/>
      <c r="G135" s="20"/>
      <c r="H135" s="20"/>
      <c r="I135" s="75"/>
      <c r="J135" s="29"/>
      <c r="K135" s="30" t="s">
        <v>152</v>
      </c>
      <c r="L135" s="20"/>
      <c r="M135" s="20"/>
      <c r="N135" s="20"/>
      <c r="O135" s="20"/>
      <c r="P135" s="75"/>
      <c r="Q135" s="29"/>
      <c r="R135" s="30" t="s">
        <v>152</v>
      </c>
      <c r="S135" s="20"/>
      <c r="T135" s="20"/>
      <c r="U135" s="20"/>
      <c r="V135" s="20"/>
      <c r="W135" s="16"/>
      <c r="X135" s="9"/>
    </row>
    <row r="136" spans="1:25" s="12" customFormat="1" ht="16.5" customHeight="1" x14ac:dyDescent="0.25">
      <c r="A136" s="15"/>
      <c r="B136" s="75"/>
      <c r="C136" s="75"/>
      <c r="D136" s="33" t="s">
        <v>153</v>
      </c>
      <c r="E136" s="75"/>
      <c r="F136" s="75"/>
      <c r="G136" s="75"/>
      <c r="H136" s="75"/>
      <c r="I136" s="75"/>
      <c r="J136" s="29"/>
      <c r="K136" s="33" t="s">
        <v>153</v>
      </c>
      <c r="L136" s="75"/>
      <c r="M136" s="75"/>
      <c r="N136" s="75"/>
      <c r="O136" s="75"/>
      <c r="P136" s="75"/>
      <c r="Q136" s="29"/>
      <c r="R136" s="33" t="s">
        <v>153</v>
      </c>
      <c r="S136" s="75"/>
      <c r="T136" s="75"/>
      <c r="U136" s="75"/>
      <c r="V136" s="75"/>
      <c r="W136" s="16"/>
      <c r="X136" s="9"/>
    </row>
    <row r="137" spans="1:25" s="12" customFormat="1" ht="3.75" customHeight="1" x14ac:dyDescent="0.25">
      <c r="A137" s="15"/>
      <c r="B137" s="75"/>
      <c r="C137" s="75"/>
      <c r="D137" s="75"/>
      <c r="E137" s="75"/>
      <c r="F137" s="75"/>
      <c r="G137" s="75"/>
      <c r="H137" s="75"/>
      <c r="I137" s="75"/>
      <c r="J137" s="29"/>
      <c r="K137" s="75"/>
      <c r="L137" s="75"/>
      <c r="M137" s="75"/>
      <c r="N137" s="75"/>
      <c r="O137" s="75"/>
      <c r="P137" s="75"/>
      <c r="Q137" s="29"/>
      <c r="R137" s="75"/>
      <c r="S137" s="75"/>
      <c r="T137" s="75"/>
      <c r="U137" s="75"/>
      <c r="V137" s="75"/>
      <c r="W137" s="16"/>
      <c r="X137" s="9"/>
    </row>
    <row r="138" spans="1:25" s="12" customFormat="1" x14ac:dyDescent="0.25">
      <c r="A138" s="15"/>
      <c r="B138" s="75"/>
      <c r="C138" s="38" t="s">
        <v>2014</v>
      </c>
      <c r="D138" s="284"/>
      <c r="E138" s="285"/>
      <c r="F138" s="286"/>
      <c r="G138" s="75"/>
      <c r="H138" s="96" t="s">
        <v>679</v>
      </c>
      <c r="I138" s="75"/>
      <c r="J138" s="29"/>
      <c r="K138" s="284"/>
      <c r="L138" s="285"/>
      <c r="M138" s="286"/>
      <c r="N138" s="75"/>
      <c r="O138" s="96" t="s">
        <v>679</v>
      </c>
      <c r="P138" s="75"/>
      <c r="Q138" s="29"/>
      <c r="R138" s="284"/>
      <c r="S138" s="285"/>
      <c r="T138" s="286"/>
      <c r="U138" s="75"/>
      <c r="V138" s="96" t="s">
        <v>679</v>
      </c>
      <c r="W138" s="16"/>
      <c r="X138" s="9"/>
    </row>
    <row r="139" spans="1:25" s="12" customFormat="1" ht="5.0999999999999996" customHeight="1" thickBot="1" x14ac:dyDescent="0.3">
      <c r="A139" s="25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8"/>
      <c r="X139" s="9"/>
    </row>
    <row r="140" spans="1:25" s="12" customFormat="1" ht="12.75" customHeight="1" x14ac:dyDescent="0.25">
      <c r="A140" s="15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6"/>
      <c r="X140" s="9"/>
    </row>
    <row r="141" spans="1:25" s="12" customFormat="1" ht="3.95" customHeight="1" x14ac:dyDescent="0.25">
      <c r="A141" s="15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6"/>
      <c r="X141" s="9"/>
    </row>
    <row r="142" spans="1:25" s="12" customFormat="1" ht="15" customHeight="1" x14ac:dyDescent="0.25">
      <c r="A142" s="15"/>
      <c r="B142" s="141"/>
      <c r="C142" s="38" t="s">
        <v>135</v>
      </c>
      <c r="D142" s="287" t="s">
        <v>549</v>
      </c>
      <c r="E142" s="287"/>
      <c r="F142" s="287"/>
      <c r="G142" s="287"/>
      <c r="H142" s="287"/>
      <c r="I142" s="141"/>
      <c r="J142" s="29"/>
      <c r="K142" s="287" t="s">
        <v>550</v>
      </c>
      <c r="L142" s="287"/>
      <c r="M142" s="287"/>
      <c r="N142" s="287"/>
      <c r="O142" s="287"/>
      <c r="P142" s="141"/>
      <c r="Q142" s="29"/>
      <c r="R142" s="287" t="s">
        <v>551</v>
      </c>
      <c r="S142" s="287"/>
      <c r="T142" s="287"/>
      <c r="U142" s="287"/>
      <c r="V142" s="287"/>
      <c r="W142" s="16"/>
      <c r="X142" s="9"/>
    </row>
    <row r="143" spans="1:25" s="12" customFormat="1" ht="3.95" customHeight="1" x14ac:dyDescent="0.25">
      <c r="A143" s="15"/>
      <c r="B143" s="243"/>
      <c r="C143" s="243"/>
      <c r="D143" s="243"/>
      <c r="E143" s="243"/>
      <c r="F143" s="243"/>
      <c r="G143" s="243"/>
      <c r="H143" s="243"/>
      <c r="I143" s="243"/>
      <c r="J143" s="29"/>
      <c r="K143" s="243"/>
      <c r="L143" s="243"/>
      <c r="M143" s="243"/>
      <c r="N143" s="243"/>
      <c r="O143" s="243"/>
      <c r="P143" s="243"/>
      <c r="Q143" s="29"/>
      <c r="R143" s="243"/>
      <c r="S143" s="243"/>
      <c r="T143" s="243"/>
      <c r="U143" s="243"/>
      <c r="V143" s="243"/>
      <c r="W143" s="16"/>
      <c r="X143" s="102"/>
    </row>
    <row r="144" spans="1:25" s="12" customFormat="1" ht="16.5" customHeight="1" x14ac:dyDescent="0.25">
      <c r="A144" s="15"/>
      <c r="B144" s="243"/>
      <c r="C144" s="38" t="s">
        <v>1054</v>
      </c>
      <c r="D144" s="278"/>
      <c r="E144" s="279"/>
      <c r="F144" s="280"/>
      <c r="G144" s="243"/>
      <c r="H144" s="243"/>
      <c r="I144" s="243"/>
      <c r="J144" s="29"/>
      <c r="K144" s="278"/>
      <c r="L144" s="279"/>
      <c r="M144" s="280"/>
      <c r="N144" s="243"/>
      <c r="O144" s="243"/>
      <c r="P144" s="243"/>
      <c r="Q144" s="29"/>
      <c r="R144" s="278"/>
      <c r="S144" s="279"/>
      <c r="T144" s="280"/>
      <c r="U144" s="243"/>
      <c r="V144" s="243"/>
      <c r="W144" s="16"/>
      <c r="X144" s="102"/>
    </row>
    <row r="145" spans="1:24" s="12" customFormat="1" ht="5.0999999999999996" customHeight="1" x14ac:dyDescent="0.25">
      <c r="A145" s="15"/>
      <c r="B145" s="243"/>
      <c r="C145" s="243"/>
      <c r="D145" s="243"/>
      <c r="E145" s="243"/>
      <c r="F145" s="243"/>
      <c r="G145" s="243"/>
      <c r="H145" s="243"/>
      <c r="I145" s="243"/>
      <c r="J145" s="29"/>
      <c r="K145" s="243"/>
      <c r="L145" s="243"/>
      <c r="M145" s="243"/>
      <c r="N145" s="243"/>
      <c r="O145" s="243"/>
      <c r="P145" s="243"/>
      <c r="Q145" s="29"/>
      <c r="R145" s="243"/>
      <c r="S145" s="243"/>
      <c r="T145" s="243"/>
      <c r="U145" s="243"/>
      <c r="V145" s="243"/>
      <c r="W145" s="16"/>
      <c r="X145" s="102"/>
    </row>
    <row r="146" spans="1:24" s="12" customFormat="1" ht="16.5" customHeight="1" x14ac:dyDescent="0.25">
      <c r="A146" s="15"/>
      <c r="B146" s="243"/>
      <c r="C146" s="38" t="s">
        <v>1055</v>
      </c>
      <c r="D146" s="281">
        <f>Progress!D95</f>
        <v>0</v>
      </c>
      <c r="E146" s="282"/>
      <c r="F146" s="283"/>
      <c r="G146" s="243"/>
      <c r="H146" s="243"/>
      <c r="I146" s="243"/>
      <c r="J146" s="29"/>
      <c r="K146" s="281">
        <f>Progress!K95</f>
        <v>0</v>
      </c>
      <c r="L146" s="282"/>
      <c r="M146" s="283"/>
      <c r="N146" s="243"/>
      <c r="O146" s="243"/>
      <c r="P146" s="243"/>
      <c r="Q146" s="29"/>
      <c r="R146" s="281">
        <f>Progress!R95</f>
        <v>0</v>
      </c>
      <c r="S146" s="282"/>
      <c r="T146" s="283"/>
      <c r="U146" s="243"/>
      <c r="V146" s="243"/>
      <c r="W146" s="16"/>
      <c r="X146" s="102"/>
    </row>
    <row r="147" spans="1:24" s="12" customFormat="1" ht="3.95" customHeight="1" x14ac:dyDescent="0.25">
      <c r="A147" s="15"/>
      <c r="B147" s="243"/>
      <c r="C147" s="243"/>
      <c r="D147" s="243"/>
      <c r="E147" s="243"/>
      <c r="F147" s="243"/>
      <c r="G147" s="243"/>
      <c r="H147" s="243"/>
      <c r="I147" s="243"/>
      <c r="J147" s="29"/>
      <c r="K147" s="243"/>
      <c r="L147" s="243"/>
      <c r="M147" s="243"/>
      <c r="N147" s="243"/>
      <c r="O147" s="243"/>
      <c r="P147" s="243"/>
      <c r="Q147" s="29"/>
      <c r="R147" s="243"/>
      <c r="S147" s="243"/>
      <c r="T147" s="243"/>
      <c r="U147" s="243"/>
      <c r="V147" s="243"/>
      <c r="W147" s="16"/>
      <c r="X147" s="102"/>
    </row>
    <row r="148" spans="1:24" s="12" customFormat="1" x14ac:dyDescent="0.25">
      <c r="A148" s="15"/>
      <c r="B148" s="243"/>
      <c r="C148" s="38" t="s">
        <v>106</v>
      </c>
      <c r="D148" s="284"/>
      <c r="E148" s="285"/>
      <c r="F148" s="285"/>
      <c r="G148" s="285"/>
      <c r="H148" s="286"/>
      <c r="I148" s="243"/>
      <c r="J148" s="29"/>
      <c r="K148" s="284"/>
      <c r="L148" s="285"/>
      <c r="M148" s="285"/>
      <c r="N148" s="285"/>
      <c r="O148" s="286"/>
      <c r="P148" s="243"/>
      <c r="Q148" s="29"/>
      <c r="R148" s="284"/>
      <c r="S148" s="285"/>
      <c r="T148" s="285"/>
      <c r="U148" s="285"/>
      <c r="V148" s="286"/>
      <c r="W148" s="16"/>
      <c r="X148" s="102"/>
    </row>
    <row r="149" spans="1:24" s="12" customFormat="1" ht="5.0999999999999996" customHeight="1" x14ac:dyDescent="0.25">
      <c r="A149" s="15"/>
      <c r="B149" s="243"/>
      <c r="C149" s="243"/>
      <c r="D149" s="243"/>
      <c r="E149" s="243"/>
      <c r="F149" s="243"/>
      <c r="G149" s="243"/>
      <c r="H149" s="243"/>
      <c r="I149" s="243"/>
      <c r="J149" s="29"/>
      <c r="K149" s="243"/>
      <c r="L149" s="243"/>
      <c r="M149" s="243"/>
      <c r="N149" s="243"/>
      <c r="O149" s="243"/>
      <c r="P149" s="243"/>
      <c r="Q149" s="29"/>
      <c r="R149" s="243"/>
      <c r="S149" s="243"/>
      <c r="T149" s="243"/>
      <c r="U149" s="243"/>
      <c r="V149" s="243"/>
      <c r="W149" s="16"/>
      <c r="X149" s="9"/>
    </row>
    <row r="150" spans="1:24" s="12" customFormat="1" x14ac:dyDescent="0.25">
      <c r="A150" s="15"/>
      <c r="B150" s="243"/>
      <c r="C150" s="38" t="s">
        <v>1002</v>
      </c>
      <c r="D150" s="297"/>
      <c r="E150" s="298"/>
      <c r="F150" s="298"/>
      <c r="G150" s="298"/>
      <c r="H150" s="299"/>
      <c r="I150" s="243"/>
      <c r="J150" s="29"/>
      <c r="K150" s="297"/>
      <c r="L150" s="298"/>
      <c r="M150" s="298"/>
      <c r="N150" s="298"/>
      <c r="O150" s="299"/>
      <c r="P150" s="243"/>
      <c r="Q150" s="29"/>
      <c r="R150" s="297"/>
      <c r="S150" s="298"/>
      <c r="T150" s="298"/>
      <c r="U150" s="298"/>
      <c r="V150" s="299"/>
      <c r="W150" s="16"/>
      <c r="X150" s="9"/>
    </row>
    <row r="151" spans="1:24" s="12" customFormat="1" ht="3.95" customHeight="1" x14ac:dyDescent="0.25">
      <c r="A151" s="15"/>
      <c r="B151" s="141"/>
      <c r="C151" s="141"/>
      <c r="D151" s="141"/>
      <c r="E151" s="141"/>
      <c r="F151" s="141"/>
      <c r="G151" s="141"/>
      <c r="H151" s="141"/>
      <c r="I151" s="141"/>
      <c r="J151" s="29"/>
      <c r="K151" s="141"/>
      <c r="L151" s="141"/>
      <c r="M151" s="141"/>
      <c r="N151" s="141"/>
      <c r="O151" s="141"/>
      <c r="P151" s="141"/>
      <c r="Q151" s="29"/>
      <c r="R151" s="141"/>
      <c r="S151" s="141"/>
      <c r="T151" s="141"/>
      <c r="U151" s="141"/>
      <c r="V151" s="141"/>
      <c r="W151" s="16"/>
      <c r="X151" s="9"/>
    </row>
    <row r="152" spans="1:24" s="12" customFormat="1" ht="32.1" customHeight="1" x14ac:dyDescent="0.25">
      <c r="A152" s="15"/>
      <c r="B152" s="141"/>
      <c r="C152" s="38" t="s">
        <v>139</v>
      </c>
      <c r="D152" s="300"/>
      <c r="E152" s="301"/>
      <c r="F152" s="301"/>
      <c r="G152" s="301"/>
      <c r="H152" s="302"/>
      <c r="I152" s="39"/>
      <c r="J152" s="40"/>
      <c r="K152" s="300"/>
      <c r="L152" s="301"/>
      <c r="M152" s="301"/>
      <c r="N152" s="301"/>
      <c r="O152" s="302"/>
      <c r="P152" s="39"/>
      <c r="Q152" s="40"/>
      <c r="R152" s="300"/>
      <c r="S152" s="301"/>
      <c r="T152" s="301"/>
      <c r="U152" s="301"/>
      <c r="V152" s="302"/>
      <c r="W152" s="16"/>
      <c r="X152" s="102"/>
    </row>
    <row r="153" spans="1:24" s="12" customFormat="1" ht="5.0999999999999996" customHeight="1" x14ac:dyDescent="0.25">
      <c r="A153" s="15"/>
      <c r="B153" s="141"/>
      <c r="C153" s="141"/>
      <c r="D153" s="141"/>
      <c r="E153" s="141"/>
      <c r="F153" s="141"/>
      <c r="G153" s="141"/>
      <c r="H153" s="141"/>
      <c r="I153" s="141"/>
      <c r="J153" s="29"/>
      <c r="K153" s="141"/>
      <c r="L153" s="141"/>
      <c r="M153" s="141"/>
      <c r="N153" s="141"/>
      <c r="O153" s="141"/>
      <c r="P153" s="141"/>
      <c r="Q153" s="29"/>
      <c r="R153" s="141"/>
      <c r="S153" s="141"/>
      <c r="T153" s="141"/>
      <c r="U153" s="141"/>
      <c r="V153" s="141"/>
      <c r="W153" s="16"/>
      <c r="X153" s="9"/>
    </row>
    <row r="154" spans="1:24" s="12" customFormat="1" ht="32.1" customHeight="1" x14ac:dyDescent="0.25">
      <c r="A154" s="15"/>
      <c r="B154" s="141"/>
      <c r="C154" s="38" t="s">
        <v>225</v>
      </c>
      <c r="D154" s="300"/>
      <c r="E154" s="301"/>
      <c r="F154" s="301"/>
      <c r="G154" s="301"/>
      <c r="H154" s="302"/>
      <c r="I154" s="39"/>
      <c r="J154" s="40"/>
      <c r="K154" s="300"/>
      <c r="L154" s="301"/>
      <c r="M154" s="301"/>
      <c r="N154" s="301"/>
      <c r="O154" s="302"/>
      <c r="P154" s="39"/>
      <c r="Q154" s="40"/>
      <c r="R154" s="300"/>
      <c r="S154" s="301"/>
      <c r="T154" s="301"/>
      <c r="U154" s="301"/>
      <c r="V154" s="302"/>
      <c r="W154" s="16"/>
      <c r="X154" s="102"/>
    </row>
    <row r="155" spans="1:24" s="12" customFormat="1" ht="5.0999999999999996" customHeight="1" x14ac:dyDescent="0.25">
      <c r="A155" s="15"/>
      <c r="B155" s="141"/>
      <c r="C155" s="141"/>
      <c r="D155" s="141"/>
      <c r="E155" s="141"/>
      <c r="F155" s="141"/>
      <c r="G155" s="141"/>
      <c r="H155" s="141"/>
      <c r="I155" s="141"/>
      <c r="J155" s="29"/>
      <c r="K155" s="141"/>
      <c r="L155" s="141"/>
      <c r="M155" s="141"/>
      <c r="N155" s="141"/>
      <c r="O155" s="141"/>
      <c r="P155" s="141"/>
      <c r="Q155" s="29"/>
      <c r="R155" s="141"/>
      <c r="S155" s="141"/>
      <c r="T155" s="141"/>
      <c r="U155" s="141"/>
      <c r="V155" s="141"/>
      <c r="W155" s="16"/>
      <c r="X155" s="9"/>
    </row>
    <row r="156" spans="1:24" s="12" customFormat="1" ht="32.1" customHeight="1" x14ac:dyDescent="0.25">
      <c r="A156" s="15"/>
      <c r="B156" s="141"/>
      <c r="C156" s="38" t="s">
        <v>140</v>
      </c>
      <c r="D156" s="300"/>
      <c r="E156" s="301"/>
      <c r="F156" s="301"/>
      <c r="G156" s="301"/>
      <c r="H156" s="302"/>
      <c r="I156" s="141"/>
      <c r="J156" s="29"/>
      <c r="K156" s="300"/>
      <c r="L156" s="301"/>
      <c r="M156" s="301"/>
      <c r="N156" s="301"/>
      <c r="O156" s="302"/>
      <c r="P156" s="141"/>
      <c r="Q156" s="29"/>
      <c r="R156" s="300"/>
      <c r="S156" s="301"/>
      <c r="T156" s="301"/>
      <c r="U156" s="301"/>
      <c r="V156" s="302"/>
      <c r="W156" s="16"/>
      <c r="X156" s="9"/>
    </row>
    <row r="157" spans="1:24" s="12" customFormat="1" ht="5.0999999999999996" customHeight="1" x14ac:dyDescent="0.25">
      <c r="A157" s="15"/>
      <c r="B157" s="141"/>
      <c r="C157" s="141"/>
      <c r="D157" s="141"/>
      <c r="E157" s="141"/>
      <c r="F157" s="141"/>
      <c r="G157" s="141"/>
      <c r="H157" s="141"/>
      <c r="I157" s="141"/>
      <c r="J157" s="29"/>
      <c r="K157" s="141"/>
      <c r="L157" s="141"/>
      <c r="M157" s="141"/>
      <c r="N157" s="141"/>
      <c r="O157" s="141"/>
      <c r="P157" s="141"/>
      <c r="Q157" s="29"/>
      <c r="R157" s="141"/>
      <c r="S157" s="141"/>
      <c r="T157" s="141"/>
      <c r="U157" s="141"/>
      <c r="V157" s="141"/>
      <c r="W157" s="16"/>
      <c r="X157" s="9"/>
    </row>
    <row r="158" spans="1:24" s="12" customFormat="1" x14ac:dyDescent="0.25">
      <c r="A158" s="15"/>
      <c r="B158" s="141"/>
      <c r="C158" s="38" t="s">
        <v>141</v>
      </c>
      <c r="D158" s="284"/>
      <c r="E158" s="285"/>
      <c r="F158" s="286"/>
      <c r="G158" s="141"/>
      <c r="H158" s="141"/>
      <c r="I158" s="141"/>
      <c r="J158" s="29"/>
      <c r="K158" s="284"/>
      <c r="L158" s="285"/>
      <c r="M158" s="286"/>
      <c r="N158" s="141"/>
      <c r="O158" s="141"/>
      <c r="P158" s="141"/>
      <c r="Q158" s="29"/>
      <c r="R158" s="284"/>
      <c r="S158" s="285"/>
      <c r="T158" s="286"/>
      <c r="U158" s="141"/>
      <c r="V158" s="141"/>
      <c r="W158" s="16"/>
      <c r="X158" s="9"/>
    </row>
    <row r="159" spans="1:24" s="12" customFormat="1" ht="3.95" customHeight="1" x14ac:dyDescent="0.25">
      <c r="A159" s="15"/>
      <c r="B159" s="141"/>
      <c r="C159" s="141"/>
      <c r="D159" s="141"/>
      <c r="E159" s="141"/>
      <c r="F159" s="141"/>
      <c r="G159" s="141"/>
      <c r="H159" s="141"/>
      <c r="I159" s="141"/>
      <c r="J159" s="29"/>
      <c r="K159" s="141"/>
      <c r="L159" s="141"/>
      <c r="M159" s="141"/>
      <c r="N159" s="141"/>
      <c r="O159" s="141"/>
      <c r="P159" s="141"/>
      <c r="Q159" s="29"/>
      <c r="R159" s="141"/>
      <c r="S159" s="141"/>
      <c r="T159" s="141"/>
      <c r="U159" s="141"/>
      <c r="V159" s="141"/>
      <c r="W159" s="16"/>
      <c r="X159" s="9"/>
    </row>
    <row r="160" spans="1:24" s="12" customFormat="1" hidden="1" x14ac:dyDescent="0.25">
      <c r="A160" s="15"/>
      <c r="B160" s="141"/>
      <c r="C160" s="38"/>
      <c r="D160" s="9"/>
      <c r="E160" s="141"/>
      <c r="F160" s="90"/>
      <c r="G160" s="141"/>
      <c r="H160" s="141"/>
      <c r="I160" s="141"/>
      <c r="J160" s="29"/>
      <c r="K160" s="9"/>
      <c r="L160" s="141"/>
      <c r="M160" s="141"/>
      <c r="N160" s="141"/>
      <c r="O160" s="141"/>
      <c r="P160" s="141"/>
      <c r="Q160" s="29"/>
      <c r="R160" s="9"/>
      <c r="S160" s="141"/>
      <c r="T160" s="141"/>
      <c r="U160" s="141"/>
      <c r="V160" s="141"/>
      <c r="W160" s="16"/>
      <c r="X160" s="9"/>
    </row>
    <row r="161" spans="1:24" s="12" customFormat="1" hidden="1" x14ac:dyDescent="0.25">
      <c r="A161" s="15"/>
      <c r="B161" s="141"/>
      <c r="C161" s="141"/>
      <c r="D161" s="141"/>
      <c r="E161" s="141"/>
      <c r="F161" s="141"/>
      <c r="G161" s="141"/>
      <c r="H161" s="141"/>
      <c r="I161" s="141"/>
      <c r="J161" s="29"/>
      <c r="K161" s="141"/>
      <c r="L161" s="141"/>
      <c r="M161" s="141"/>
      <c r="N161" s="141"/>
      <c r="O161" s="141"/>
      <c r="P161" s="141"/>
      <c r="Q161" s="29"/>
      <c r="R161" s="141"/>
      <c r="S161" s="141"/>
      <c r="T161" s="141"/>
      <c r="U161" s="141"/>
      <c r="V161" s="141"/>
      <c r="W161" s="16"/>
      <c r="X161" s="9"/>
    </row>
    <row r="162" spans="1:24" s="12" customFormat="1" hidden="1" x14ac:dyDescent="0.25">
      <c r="A162" s="15"/>
      <c r="B162" s="141"/>
      <c r="C162" s="31"/>
      <c r="D162" s="30"/>
      <c r="E162" s="141"/>
      <c r="F162" s="141"/>
      <c r="G162" s="141"/>
      <c r="H162" s="141"/>
      <c r="I162" s="141"/>
      <c r="J162" s="29"/>
      <c r="K162" s="30"/>
      <c r="L162" s="141"/>
      <c r="M162" s="141"/>
      <c r="N162" s="141"/>
      <c r="O162" s="141"/>
      <c r="P162" s="141"/>
      <c r="Q162" s="29"/>
      <c r="R162" s="30"/>
      <c r="S162" s="141"/>
      <c r="T162" s="141"/>
      <c r="U162" s="141"/>
      <c r="V162" s="141"/>
      <c r="W162" s="16"/>
      <c r="X162" s="9"/>
    </row>
    <row r="163" spans="1:24" s="12" customFormat="1" ht="3.95" hidden="1" customHeight="1" x14ac:dyDescent="0.25">
      <c r="A163" s="15"/>
      <c r="B163" s="141"/>
      <c r="C163" s="141"/>
      <c r="D163" s="141"/>
      <c r="E163" s="141"/>
      <c r="F163" s="141"/>
      <c r="G163" s="141"/>
      <c r="H163" s="141"/>
      <c r="I163" s="141"/>
      <c r="J163" s="29"/>
      <c r="K163" s="141"/>
      <c r="L163" s="141"/>
      <c r="M163" s="141"/>
      <c r="N163" s="141"/>
      <c r="O163" s="141"/>
      <c r="P163" s="141"/>
      <c r="Q163" s="29"/>
      <c r="R163" s="141"/>
      <c r="S163" s="141"/>
      <c r="T163" s="141"/>
      <c r="U163" s="141"/>
      <c r="V163" s="141"/>
      <c r="W163" s="16"/>
      <c r="X163" s="9"/>
    </row>
    <row r="164" spans="1:24" s="12" customFormat="1" x14ac:dyDescent="0.25">
      <c r="A164" s="15"/>
      <c r="B164" s="141"/>
      <c r="C164" s="38" t="s">
        <v>142</v>
      </c>
      <c r="D164" s="294"/>
      <c r="E164" s="295"/>
      <c r="F164" s="295"/>
      <c r="G164" s="295"/>
      <c r="H164" s="296"/>
      <c r="I164" s="141"/>
      <c r="J164" s="29"/>
      <c r="K164" s="294"/>
      <c r="L164" s="295"/>
      <c r="M164" s="295"/>
      <c r="N164" s="295"/>
      <c r="O164" s="296"/>
      <c r="P164" s="141"/>
      <c r="Q164" s="29"/>
      <c r="R164" s="294"/>
      <c r="S164" s="295"/>
      <c r="T164" s="295"/>
      <c r="U164" s="295"/>
      <c r="V164" s="296"/>
      <c r="W164" s="16"/>
      <c r="X164" s="9"/>
    </row>
    <row r="165" spans="1:24" s="12" customFormat="1" ht="3.95" customHeight="1" x14ac:dyDescent="0.25">
      <c r="A165" s="15"/>
      <c r="B165" s="141"/>
      <c r="C165" s="141"/>
      <c r="D165" s="141"/>
      <c r="E165" s="141"/>
      <c r="F165" s="141"/>
      <c r="G165" s="141"/>
      <c r="H165" s="141"/>
      <c r="I165" s="141"/>
      <c r="J165" s="29"/>
      <c r="K165" s="141"/>
      <c r="L165" s="141"/>
      <c r="M165" s="141"/>
      <c r="N165" s="141"/>
      <c r="O165" s="141"/>
      <c r="P165" s="141"/>
      <c r="Q165" s="29"/>
      <c r="R165" s="141"/>
      <c r="S165" s="141"/>
      <c r="T165" s="141"/>
      <c r="U165" s="141"/>
      <c r="V165" s="141"/>
      <c r="W165" s="16"/>
      <c r="X165" s="9"/>
    </row>
    <row r="166" spans="1:24" s="12" customFormat="1" x14ac:dyDescent="0.25">
      <c r="A166" s="15"/>
      <c r="B166" s="141"/>
      <c r="C166" s="38" t="s">
        <v>143</v>
      </c>
      <c r="D166" s="294"/>
      <c r="E166" s="295"/>
      <c r="F166" s="296"/>
      <c r="G166" s="20"/>
      <c r="H166" s="20"/>
      <c r="I166" s="141"/>
      <c r="J166" s="29"/>
      <c r="K166" s="294"/>
      <c r="L166" s="295"/>
      <c r="M166" s="296"/>
      <c r="N166" s="20"/>
      <c r="O166" s="20"/>
      <c r="P166" s="141"/>
      <c r="Q166" s="29"/>
      <c r="R166" s="294"/>
      <c r="S166" s="295"/>
      <c r="T166" s="296"/>
      <c r="U166" s="20"/>
      <c r="V166" s="20"/>
      <c r="W166" s="16"/>
      <c r="X166" s="9"/>
    </row>
    <row r="167" spans="1:24" s="12" customFormat="1" ht="3.95" customHeight="1" x14ac:dyDescent="0.25">
      <c r="A167" s="15"/>
      <c r="B167" s="141"/>
      <c r="C167" s="141"/>
      <c r="D167" s="141"/>
      <c r="E167" s="141"/>
      <c r="F167" s="141"/>
      <c r="G167" s="141"/>
      <c r="H167" s="141"/>
      <c r="I167" s="141"/>
      <c r="J167" s="29"/>
      <c r="K167" s="141"/>
      <c r="L167" s="141"/>
      <c r="M167" s="141"/>
      <c r="N167" s="141"/>
      <c r="O167" s="141"/>
      <c r="P167" s="141"/>
      <c r="Q167" s="29"/>
      <c r="R167" s="141"/>
      <c r="S167" s="141"/>
      <c r="T167" s="141"/>
      <c r="U167" s="141"/>
      <c r="V167" s="141"/>
      <c r="W167" s="16"/>
      <c r="X167" s="9"/>
    </row>
    <row r="168" spans="1:24" s="12" customFormat="1" x14ac:dyDescent="0.25">
      <c r="A168" s="15"/>
      <c r="B168" s="141"/>
      <c r="C168" s="21" t="s">
        <v>144</v>
      </c>
      <c r="D168" s="83"/>
      <c r="E168" s="56"/>
      <c r="F168" s="83"/>
      <c r="G168" s="56"/>
      <c r="H168" s="83"/>
      <c r="I168" s="141"/>
      <c r="J168" s="29"/>
      <c r="K168" s="83"/>
      <c r="L168" s="141"/>
      <c r="M168" s="83"/>
      <c r="N168" s="141"/>
      <c r="O168" s="83"/>
      <c r="P168" s="141"/>
      <c r="Q168" s="29"/>
      <c r="R168" s="83"/>
      <c r="S168" s="141"/>
      <c r="T168" s="83"/>
      <c r="U168" s="141"/>
      <c r="V168" s="83"/>
      <c r="W168" s="16"/>
      <c r="X168" s="9"/>
    </row>
    <row r="169" spans="1:24" s="12" customFormat="1" ht="3.95" customHeight="1" x14ac:dyDescent="0.25">
      <c r="A169" s="15"/>
      <c r="B169" s="141"/>
      <c r="C169" s="141"/>
      <c r="D169" s="141"/>
      <c r="E169" s="141"/>
      <c r="F169" s="141"/>
      <c r="G169" s="141"/>
      <c r="H169" s="141"/>
      <c r="I169" s="141"/>
      <c r="J169" s="29"/>
      <c r="K169" s="141"/>
      <c r="L169" s="141"/>
      <c r="M169" s="141"/>
      <c r="N169" s="141"/>
      <c r="O169" s="141"/>
      <c r="P169" s="141"/>
      <c r="Q169" s="29"/>
      <c r="R169" s="141"/>
      <c r="S169" s="141"/>
      <c r="T169" s="141"/>
      <c r="U169" s="141"/>
      <c r="V169" s="141"/>
      <c r="W169" s="16"/>
      <c r="X169" s="9"/>
    </row>
    <row r="170" spans="1:24" s="12" customFormat="1" x14ac:dyDescent="0.25">
      <c r="A170" s="15"/>
      <c r="B170" s="141"/>
      <c r="C170" s="38" t="s">
        <v>145</v>
      </c>
      <c r="D170" s="83"/>
      <c r="E170" s="141"/>
      <c r="F170" s="288"/>
      <c r="G170" s="288"/>
      <c r="H170" s="288"/>
      <c r="I170" s="141"/>
      <c r="J170" s="29"/>
      <c r="K170" s="83"/>
      <c r="L170" s="141"/>
      <c r="M170" s="140"/>
      <c r="N170" s="141"/>
      <c r="O170" s="141"/>
      <c r="P170" s="141"/>
      <c r="Q170" s="29"/>
      <c r="R170" s="83"/>
      <c r="S170" s="141"/>
      <c r="T170" s="140"/>
      <c r="U170" s="141"/>
      <c r="V170" s="141"/>
      <c r="W170" s="16"/>
      <c r="X170" s="9"/>
    </row>
    <row r="171" spans="1:24" s="12" customFormat="1" ht="3.95" customHeight="1" x14ac:dyDescent="0.25">
      <c r="A171" s="15"/>
      <c r="B171" s="141"/>
      <c r="C171" s="141"/>
      <c r="D171" s="141"/>
      <c r="E171" s="141"/>
      <c r="F171" s="288"/>
      <c r="G171" s="288"/>
      <c r="H171" s="288"/>
      <c r="I171" s="141"/>
      <c r="J171" s="29"/>
      <c r="K171" s="141"/>
      <c r="L171" s="141"/>
      <c r="M171" s="141"/>
      <c r="N171" s="141"/>
      <c r="O171" s="141"/>
      <c r="P171" s="141"/>
      <c r="Q171" s="29"/>
      <c r="R171" s="141"/>
      <c r="S171" s="141"/>
      <c r="T171" s="141"/>
      <c r="U171" s="141"/>
      <c r="V171" s="141"/>
      <c r="W171" s="16"/>
      <c r="X171" s="9"/>
    </row>
    <row r="172" spans="1:24" s="12" customFormat="1" ht="16.5" customHeight="1" x14ac:dyDescent="0.25">
      <c r="A172" s="15"/>
      <c r="B172" s="141"/>
      <c r="C172" s="38" t="s">
        <v>146</v>
      </c>
      <c r="D172" s="83"/>
      <c r="E172" s="141"/>
      <c r="F172" s="288"/>
      <c r="G172" s="288"/>
      <c r="H172" s="288"/>
      <c r="I172" s="141"/>
      <c r="J172" s="29"/>
      <c r="K172" s="83"/>
      <c r="L172" s="141"/>
      <c r="M172" s="289"/>
      <c r="N172" s="289"/>
      <c r="O172" s="289"/>
      <c r="P172" s="141"/>
      <c r="Q172" s="29"/>
      <c r="R172" s="83"/>
      <c r="S172" s="141"/>
      <c r="T172" s="289"/>
      <c r="U172" s="289"/>
      <c r="V172" s="289"/>
      <c r="W172" s="16"/>
      <c r="X172" s="9"/>
    </row>
    <row r="173" spans="1:24" s="12" customFormat="1" ht="3.95" customHeight="1" x14ac:dyDescent="0.25">
      <c r="A173" s="15"/>
      <c r="B173" s="141"/>
      <c r="C173" s="141"/>
      <c r="D173" s="141"/>
      <c r="E173" s="141"/>
      <c r="F173" s="141"/>
      <c r="G173" s="141"/>
      <c r="H173" s="141"/>
      <c r="I173" s="141"/>
      <c r="J173" s="29"/>
      <c r="K173" s="141"/>
      <c r="L173" s="141"/>
      <c r="M173" s="141"/>
      <c r="N173" s="141"/>
      <c r="O173" s="141"/>
      <c r="P173" s="141"/>
      <c r="Q173" s="29"/>
      <c r="R173" s="141"/>
      <c r="S173" s="141"/>
      <c r="T173" s="141"/>
      <c r="U173" s="141"/>
      <c r="V173" s="141"/>
      <c r="W173" s="16"/>
      <c r="X173" s="9"/>
    </row>
    <row r="174" spans="1:24" s="12" customFormat="1" x14ac:dyDescent="0.25">
      <c r="A174" s="15"/>
      <c r="B174" s="141"/>
      <c r="C174" s="38" t="s">
        <v>147</v>
      </c>
      <c r="D174" s="290"/>
      <c r="E174" s="291"/>
      <c r="F174" s="292"/>
      <c r="G174" s="209"/>
      <c r="H174" s="209"/>
      <c r="I174" s="141"/>
      <c r="J174" s="29"/>
      <c r="K174" s="290"/>
      <c r="L174" s="291"/>
      <c r="M174" s="292"/>
      <c r="N174" s="209"/>
      <c r="O174" s="209"/>
      <c r="P174" s="141"/>
      <c r="Q174" s="29"/>
      <c r="R174" s="290"/>
      <c r="S174" s="291"/>
      <c r="T174" s="292"/>
      <c r="U174" s="209"/>
      <c r="V174" s="209"/>
      <c r="W174" s="16"/>
      <c r="X174" s="9"/>
    </row>
    <row r="175" spans="1:24" s="12" customFormat="1" ht="3.95" customHeight="1" x14ac:dyDescent="0.25">
      <c r="A175" s="15"/>
      <c r="B175" s="141"/>
      <c r="C175" s="141"/>
      <c r="D175" s="141"/>
      <c r="E175" s="141"/>
      <c r="F175" s="141"/>
      <c r="G175" s="141"/>
      <c r="H175" s="141"/>
      <c r="I175" s="141"/>
      <c r="J175" s="29"/>
      <c r="K175" s="141"/>
      <c r="L175" s="141"/>
      <c r="M175" s="141"/>
      <c r="N175" s="141"/>
      <c r="O175" s="141"/>
      <c r="P175" s="141"/>
      <c r="Q175" s="29"/>
      <c r="R175" s="141"/>
      <c r="S175" s="141"/>
      <c r="T175" s="141"/>
      <c r="U175" s="141"/>
      <c r="V175" s="141"/>
      <c r="W175" s="16"/>
      <c r="X175" s="9"/>
    </row>
    <row r="176" spans="1:24" s="12" customFormat="1" x14ac:dyDescent="0.25">
      <c r="A176" s="15"/>
      <c r="B176" s="141"/>
      <c r="C176" s="38" t="s">
        <v>148</v>
      </c>
      <c r="D176" s="30" t="s">
        <v>149</v>
      </c>
      <c r="E176" s="20"/>
      <c r="F176" s="30" t="s">
        <v>192</v>
      </c>
      <c r="G176" s="32"/>
      <c r="H176" s="20"/>
      <c r="I176" s="141"/>
      <c r="J176" s="29"/>
      <c r="K176" s="30" t="s">
        <v>149</v>
      </c>
      <c r="L176" s="20"/>
      <c r="M176" s="30" t="s">
        <v>1038</v>
      </c>
      <c r="N176" s="32"/>
      <c r="O176" s="20"/>
      <c r="P176" s="141"/>
      <c r="Q176" s="29"/>
      <c r="R176" s="30" t="s">
        <v>149</v>
      </c>
      <c r="S176" s="20"/>
      <c r="T176" s="30" t="s">
        <v>192</v>
      </c>
      <c r="U176" s="32"/>
      <c r="V176" s="20"/>
      <c r="W176" s="16"/>
      <c r="X176" s="9"/>
    </row>
    <row r="177" spans="1:25" s="12" customFormat="1" ht="16.5" customHeight="1" x14ac:dyDescent="0.25">
      <c r="A177" s="15"/>
      <c r="B177" s="141"/>
      <c r="C177" s="141"/>
      <c r="D177" s="33" t="s">
        <v>150</v>
      </c>
      <c r="E177" s="141"/>
      <c r="F177" s="34" t="s">
        <v>190</v>
      </c>
      <c r="G177" s="141"/>
      <c r="H177" s="141"/>
      <c r="I177" s="141"/>
      <c r="J177" s="29"/>
      <c r="K177" s="33" t="s">
        <v>150</v>
      </c>
      <c r="L177" s="141"/>
      <c r="M177" s="34" t="s">
        <v>382</v>
      </c>
      <c r="N177" s="141"/>
      <c r="O177" s="141"/>
      <c r="P177" s="141"/>
      <c r="Q177" s="29"/>
      <c r="R177" s="33" t="s">
        <v>150</v>
      </c>
      <c r="S177" s="141"/>
      <c r="T177" s="34" t="s">
        <v>190</v>
      </c>
      <c r="U177" s="141"/>
      <c r="V177" s="141"/>
      <c r="W177" s="16"/>
      <c r="X177" s="9"/>
      <c r="Y177" s="64"/>
    </row>
    <row r="178" spans="1:25" s="12" customFormat="1" ht="17.25" customHeight="1" x14ac:dyDescent="0.3">
      <c r="A178" s="15"/>
      <c r="B178" s="141"/>
      <c r="C178" s="141"/>
      <c r="D178" s="9"/>
      <c r="E178" s="141"/>
      <c r="F178" s="34" t="s">
        <v>189</v>
      </c>
      <c r="G178" s="141"/>
      <c r="H178" s="141"/>
      <c r="I178" s="141"/>
      <c r="J178" s="29"/>
      <c r="K178" s="33"/>
      <c r="L178" s="141"/>
      <c r="M178" s="141" t="s">
        <v>1039</v>
      </c>
      <c r="N178" s="141"/>
      <c r="O178" s="141"/>
      <c r="P178" s="141"/>
      <c r="Q178" s="29"/>
      <c r="R178" s="20"/>
      <c r="S178" s="141"/>
      <c r="T178" s="69" t="s">
        <v>191</v>
      </c>
      <c r="U178" s="141"/>
      <c r="V178" s="141"/>
      <c r="W178" s="16"/>
      <c r="X178" s="9"/>
    </row>
    <row r="179" spans="1:25" s="12" customFormat="1" ht="9.75" customHeight="1" x14ac:dyDescent="0.25">
      <c r="A179" s="15"/>
      <c r="B179" s="141"/>
      <c r="C179" s="141"/>
      <c r="D179" s="141"/>
      <c r="E179" s="141"/>
      <c r="F179" s="141"/>
      <c r="G179" s="141"/>
      <c r="H179" s="141"/>
      <c r="I179" s="141"/>
      <c r="J179" s="29"/>
      <c r="K179" s="141"/>
      <c r="L179" s="141"/>
      <c r="M179" s="141"/>
      <c r="N179" s="141"/>
      <c r="O179" s="141"/>
      <c r="P179" s="141"/>
      <c r="Q179" s="29"/>
      <c r="R179" s="141"/>
      <c r="S179" s="141"/>
      <c r="T179" s="141"/>
      <c r="U179" s="141"/>
      <c r="V179" s="141"/>
      <c r="W179" s="16"/>
      <c r="X179" s="9"/>
    </row>
    <row r="180" spans="1:25" s="12" customFormat="1" ht="16.5" customHeight="1" x14ac:dyDescent="0.25">
      <c r="A180" s="15"/>
      <c r="B180" s="141"/>
      <c r="C180" s="38" t="s">
        <v>151</v>
      </c>
      <c r="D180" s="30" t="s">
        <v>152</v>
      </c>
      <c r="E180" s="20"/>
      <c r="F180" s="20"/>
      <c r="G180" s="20"/>
      <c r="H180" s="20"/>
      <c r="I180" s="141"/>
      <c r="J180" s="29"/>
      <c r="K180" s="30" t="s">
        <v>152</v>
      </c>
      <c r="L180" s="20"/>
      <c r="M180" s="20"/>
      <c r="N180" s="20"/>
      <c r="O180" s="20"/>
      <c r="P180" s="141"/>
      <c r="Q180" s="29"/>
      <c r="R180" s="30" t="s">
        <v>152</v>
      </c>
      <c r="S180" s="20"/>
      <c r="T180" s="20"/>
      <c r="U180" s="20"/>
      <c r="V180" s="20"/>
      <c r="W180" s="16"/>
      <c r="X180" s="9"/>
    </row>
    <row r="181" spans="1:25" s="12" customFormat="1" ht="16.5" customHeight="1" x14ac:dyDescent="0.25">
      <c r="A181" s="15"/>
      <c r="B181" s="141"/>
      <c r="C181" s="141"/>
      <c r="D181" s="33" t="s">
        <v>153</v>
      </c>
      <c r="E181" s="141"/>
      <c r="F181" s="141"/>
      <c r="G181" s="141"/>
      <c r="H181" s="141"/>
      <c r="I181" s="141"/>
      <c r="J181" s="29"/>
      <c r="K181" s="33" t="s">
        <v>153</v>
      </c>
      <c r="L181" s="141"/>
      <c r="M181" s="141"/>
      <c r="N181" s="141"/>
      <c r="O181" s="141"/>
      <c r="P181" s="141"/>
      <c r="Q181" s="29"/>
      <c r="R181" s="33" t="s">
        <v>153</v>
      </c>
      <c r="S181" s="141"/>
      <c r="T181" s="141"/>
      <c r="U181" s="141"/>
      <c r="V181" s="141"/>
      <c r="W181" s="16"/>
      <c r="X181" s="9"/>
    </row>
    <row r="182" spans="1:25" s="12" customFormat="1" ht="3.95" customHeight="1" x14ac:dyDescent="0.25">
      <c r="A182" s="15"/>
      <c r="B182" s="141"/>
      <c r="C182" s="141"/>
      <c r="D182" s="141"/>
      <c r="E182" s="141"/>
      <c r="F182" s="141"/>
      <c r="G182" s="141"/>
      <c r="H182" s="141"/>
      <c r="I182" s="141"/>
      <c r="J182" s="29"/>
      <c r="K182" s="141"/>
      <c r="L182" s="141"/>
      <c r="M182" s="141"/>
      <c r="N182" s="141"/>
      <c r="O182" s="141"/>
      <c r="P182" s="141"/>
      <c r="Q182" s="29"/>
      <c r="R182" s="141"/>
      <c r="S182" s="141"/>
      <c r="T182" s="141"/>
      <c r="U182" s="141"/>
      <c r="V182" s="141"/>
      <c r="W182" s="16"/>
      <c r="X182" s="9"/>
    </row>
    <row r="183" spans="1:25" s="12" customFormat="1" x14ac:dyDescent="0.25">
      <c r="A183" s="15"/>
      <c r="B183" s="141"/>
      <c r="C183" s="38" t="s">
        <v>2014</v>
      </c>
      <c r="D183" s="284"/>
      <c r="E183" s="285"/>
      <c r="F183" s="286"/>
      <c r="G183" s="141"/>
      <c r="H183" s="96" t="s">
        <v>679</v>
      </c>
      <c r="I183" s="141"/>
      <c r="J183" s="29"/>
      <c r="K183" s="284"/>
      <c r="L183" s="285"/>
      <c r="M183" s="286"/>
      <c r="N183" s="141"/>
      <c r="O183" s="141" t="s">
        <v>679</v>
      </c>
      <c r="P183" s="141"/>
      <c r="Q183" s="29"/>
      <c r="R183" s="284"/>
      <c r="S183" s="285"/>
      <c r="T183" s="286"/>
      <c r="U183" s="141"/>
      <c r="V183" s="141" t="s">
        <v>679</v>
      </c>
      <c r="W183" s="16"/>
      <c r="X183" s="9"/>
    </row>
    <row r="184" spans="1:25" s="12" customFormat="1" ht="5.0999999999999996" customHeight="1" thickBot="1" x14ac:dyDescent="0.3">
      <c r="A184" s="25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8"/>
      <c r="X184" s="9"/>
    </row>
    <row r="185" spans="1:25" s="12" customFormat="1" ht="14.25" customHeight="1" x14ac:dyDescent="0.25">
      <c r="A185" s="15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6"/>
      <c r="X185" s="9"/>
    </row>
    <row r="186" spans="1:25" s="12" customFormat="1" ht="3.95" customHeight="1" x14ac:dyDescent="0.25">
      <c r="A186" s="15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6"/>
      <c r="X186" s="9"/>
    </row>
    <row r="187" spans="1:25" s="12" customFormat="1" ht="15" customHeight="1" x14ac:dyDescent="0.25">
      <c r="A187" s="15"/>
      <c r="B187" s="141"/>
      <c r="C187" s="38" t="s">
        <v>135</v>
      </c>
      <c r="D187" s="287" t="s">
        <v>552</v>
      </c>
      <c r="E187" s="287"/>
      <c r="F187" s="287"/>
      <c r="G187" s="287"/>
      <c r="H187" s="287"/>
      <c r="I187" s="141"/>
      <c r="J187" s="29"/>
      <c r="K187" s="287" t="s">
        <v>553</v>
      </c>
      <c r="L187" s="287"/>
      <c r="M187" s="287"/>
      <c r="N187" s="287"/>
      <c r="O187" s="287"/>
      <c r="P187" s="141"/>
      <c r="Q187" s="29"/>
      <c r="R187" s="287" t="s">
        <v>554</v>
      </c>
      <c r="S187" s="287"/>
      <c r="T187" s="287"/>
      <c r="U187" s="287"/>
      <c r="V187" s="287"/>
      <c r="W187" s="16"/>
      <c r="X187" s="9"/>
    </row>
    <row r="188" spans="1:25" s="12" customFormat="1" ht="3.95" customHeight="1" x14ac:dyDescent="0.25">
      <c r="A188" s="15"/>
      <c r="B188" s="243"/>
      <c r="C188" s="243"/>
      <c r="D188" s="243"/>
      <c r="E188" s="243"/>
      <c r="F188" s="243"/>
      <c r="G188" s="243"/>
      <c r="H188" s="243"/>
      <c r="I188" s="243"/>
      <c r="J188" s="29"/>
      <c r="K188" s="243"/>
      <c r="L188" s="243"/>
      <c r="M188" s="243"/>
      <c r="N188" s="243"/>
      <c r="O188" s="243"/>
      <c r="P188" s="243"/>
      <c r="Q188" s="29"/>
      <c r="R188" s="243"/>
      <c r="S188" s="243"/>
      <c r="T188" s="243"/>
      <c r="U188" s="243"/>
      <c r="V188" s="243"/>
      <c r="W188" s="16"/>
      <c r="X188" s="102"/>
    </row>
    <row r="189" spans="1:25" s="12" customFormat="1" ht="16.5" customHeight="1" x14ac:dyDescent="0.25">
      <c r="A189" s="15"/>
      <c r="B189" s="243"/>
      <c r="C189" s="38" t="s">
        <v>1054</v>
      </c>
      <c r="D189" s="278"/>
      <c r="E189" s="279"/>
      <c r="F189" s="280"/>
      <c r="G189" s="243"/>
      <c r="H189" s="243"/>
      <c r="I189" s="243"/>
      <c r="J189" s="29"/>
      <c r="K189" s="278"/>
      <c r="L189" s="279"/>
      <c r="M189" s="280"/>
      <c r="N189" s="243"/>
      <c r="O189" s="243"/>
      <c r="P189" s="243"/>
      <c r="Q189" s="29"/>
      <c r="R189" s="278"/>
      <c r="S189" s="279"/>
      <c r="T189" s="280"/>
      <c r="U189" s="243"/>
      <c r="V189" s="243"/>
      <c r="W189" s="16"/>
      <c r="X189" s="102"/>
    </row>
    <row r="190" spans="1:25" s="12" customFormat="1" ht="5.0999999999999996" customHeight="1" x14ac:dyDescent="0.25">
      <c r="A190" s="15"/>
      <c r="B190" s="243"/>
      <c r="C190" s="243"/>
      <c r="D190" s="243"/>
      <c r="E190" s="243"/>
      <c r="F190" s="243"/>
      <c r="G190" s="243"/>
      <c r="H190" s="243"/>
      <c r="I190" s="243"/>
      <c r="J190" s="29"/>
      <c r="K190" s="243"/>
      <c r="L190" s="243"/>
      <c r="M190" s="243"/>
      <c r="N190" s="243"/>
      <c r="O190" s="243"/>
      <c r="P190" s="243"/>
      <c r="Q190" s="29"/>
      <c r="R190" s="243"/>
      <c r="S190" s="243"/>
      <c r="T190" s="243"/>
      <c r="U190" s="243"/>
      <c r="V190" s="243"/>
      <c r="W190" s="16"/>
      <c r="X190" s="102"/>
    </row>
    <row r="191" spans="1:25" s="12" customFormat="1" ht="16.5" customHeight="1" x14ac:dyDescent="0.25">
      <c r="A191" s="15"/>
      <c r="B191" s="243"/>
      <c r="C191" s="38" t="s">
        <v>1055</v>
      </c>
      <c r="D191" s="281">
        <f>Progress!D134</f>
        <v>0</v>
      </c>
      <c r="E191" s="282"/>
      <c r="F191" s="283"/>
      <c r="G191" s="243"/>
      <c r="H191" s="243"/>
      <c r="I191" s="243"/>
      <c r="J191" s="29"/>
      <c r="K191" s="281">
        <f>Progress!K134</f>
        <v>0</v>
      </c>
      <c r="L191" s="282"/>
      <c r="M191" s="283"/>
      <c r="N191" s="243"/>
      <c r="O191" s="243"/>
      <c r="P191" s="243"/>
      <c r="Q191" s="29"/>
      <c r="R191" s="281">
        <f>Progress!R134</f>
        <v>0</v>
      </c>
      <c r="S191" s="282"/>
      <c r="T191" s="283"/>
      <c r="U191" s="243"/>
      <c r="V191" s="243"/>
      <c r="W191" s="16"/>
      <c r="X191" s="102"/>
    </row>
    <row r="192" spans="1:25" s="12" customFormat="1" ht="3.95" customHeight="1" x14ac:dyDescent="0.25">
      <c r="A192" s="15"/>
      <c r="B192" s="141"/>
      <c r="C192" s="141"/>
      <c r="D192" s="141"/>
      <c r="E192" s="141"/>
      <c r="F192" s="141"/>
      <c r="G192" s="141"/>
      <c r="H192" s="141"/>
      <c r="I192" s="141"/>
      <c r="J192" s="29"/>
      <c r="K192" s="141"/>
      <c r="L192" s="141"/>
      <c r="M192" s="141"/>
      <c r="N192" s="141"/>
      <c r="O192" s="141"/>
      <c r="P192" s="141"/>
      <c r="Q192" s="29"/>
      <c r="R192" s="141"/>
      <c r="S192" s="141"/>
      <c r="T192" s="141"/>
      <c r="U192" s="141"/>
      <c r="V192" s="141"/>
      <c r="W192" s="16"/>
      <c r="X192" s="102"/>
    </row>
    <row r="193" spans="1:24" s="12" customFormat="1" x14ac:dyDescent="0.25">
      <c r="A193" s="15"/>
      <c r="B193" s="141"/>
      <c r="C193" s="38" t="s">
        <v>106</v>
      </c>
      <c r="D193" s="284"/>
      <c r="E193" s="285"/>
      <c r="F193" s="285"/>
      <c r="G193" s="285"/>
      <c r="H193" s="286"/>
      <c r="I193" s="141"/>
      <c r="J193" s="29"/>
      <c r="K193" s="284"/>
      <c r="L193" s="285"/>
      <c r="M193" s="285"/>
      <c r="N193" s="285"/>
      <c r="O193" s="286"/>
      <c r="P193" s="141"/>
      <c r="Q193" s="29"/>
      <c r="R193" s="284"/>
      <c r="S193" s="285"/>
      <c r="T193" s="285"/>
      <c r="U193" s="285"/>
      <c r="V193" s="286"/>
      <c r="W193" s="16"/>
      <c r="X193" s="102"/>
    </row>
    <row r="194" spans="1:24" s="12" customFormat="1" ht="5.0999999999999996" customHeight="1" x14ac:dyDescent="0.25">
      <c r="A194" s="15"/>
      <c r="B194" s="141"/>
      <c r="C194" s="141"/>
      <c r="D194" s="141"/>
      <c r="E194" s="141"/>
      <c r="F194" s="141"/>
      <c r="G194" s="141"/>
      <c r="H194" s="141"/>
      <c r="I194" s="141"/>
      <c r="J194" s="29"/>
      <c r="K194" s="141"/>
      <c r="L194" s="141"/>
      <c r="M194" s="141"/>
      <c r="N194" s="141"/>
      <c r="O194" s="141"/>
      <c r="P194" s="141"/>
      <c r="Q194" s="29"/>
      <c r="R194" s="141"/>
      <c r="S194" s="141"/>
      <c r="T194" s="141"/>
      <c r="U194" s="141"/>
      <c r="V194" s="141"/>
      <c r="W194" s="16"/>
      <c r="X194" s="9"/>
    </row>
    <row r="195" spans="1:24" s="12" customFormat="1" x14ac:dyDescent="0.25">
      <c r="A195" s="15"/>
      <c r="B195" s="141"/>
      <c r="C195" s="38" t="s">
        <v>1002</v>
      </c>
      <c r="D195" s="297"/>
      <c r="E195" s="298"/>
      <c r="F195" s="298"/>
      <c r="G195" s="298"/>
      <c r="H195" s="299"/>
      <c r="I195" s="141"/>
      <c r="J195" s="29"/>
      <c r="K195" s="297"/>
      <c r="L195" s="298"/>
      <c r="M195" s="298"/>
      <c r="N195" s="298"/>
      <c r="O195" s="299"/>
      <c r="P195" s="141"/>
      <c r="Q195" s="29"/>
      <c r="R195" s="297"/>
      <c r="S195" s="298"/>
      <c r="T195" s="298"/>
      <c r="U195" s="298"/>
      <c r="V195" s="299"/>
      <c r="W195" s="16"/>
      <c r="X195" s="9"/>
    </row>
    <row r="196" spans="1:24" s="12" customFormat="1" ht="3.95" customHeight="1" x14ac:dyDescent="0.25">
      <c r="A196" s="15"/>
      <c r="B196" s="141"/>
      <c r="C196" s="141"/>
      <c r="D196" s="141"/>
      <c r="E196" s="141"/>
      <c r="F196" s="141"/>
      <c r="G196" s="141"/>
      <c r="H196" s="141"/>
      <c r="I196" s="141"/>
      <c r="J196" s="29"/>
      <c r="K196" s="141"/>
      <c r="L196" s="141"/>
      <c r="M196" s="141"/>
      <c r="N196" s="141"/>
      <c r="O196" s="141"/>
      <c r="P196" s="141"/>
      <c r="Q196" s="29"/>
      <c r="R196" s="141"/>
      <c r="S196" s="141"/>
      <c r="T196" s="141"/>
      <c r="U196" s="141"/>
      <c r="V196" s="141"/>
      <c r="W196" s="16"/>
      <c r="X196" s="9"/>
    </row>
    <row r="197" spans="1:24" s="12" customFormat="1" ht="32.1" customHeight="1" x14ac:dyDescent="0.25">
      <c r="A197" s="15"/>
      <c r="B197" s="141"/>
      <c r="C197" s="38" t="s">
        <v>139</v>
      </c>
      <c r="D197" s="300"/>
      <c r="E197" s="301"/>
      <c r="F197" s="301"/>
      <c r="G197" s="301"/>
      <c r="H197" s="302"/>
      <c r="I197" s="39"/>
      <c r="J197" s="40"/>
      <c r="K197" s="300"/>
      <c r="L197" s="301"/>
      <c r="M197" s="301"/>
      <c r="N197" s="301"/>
      <c r="O197" s="302"/>
      <c r="P197" s="39"/>
      <c r="Q197" s="40"/>
      <c r="R197" s="300"/>
      <c r="S197" s="301"/>
      <c r="T197" s="301"/>
      <c r="U197" s="301"/>
      <c r="V197" s="302"/>
      <c r="W197" s="16"/>
      <c r="X197" s="102"/>
    </row>
    <row r="198" spans="1:24" s="12" customFormat="1" ht="5.0999999999999996" customHeight="1" x14ac:dyDescent="0.25">
      <c r="A198" s="15"/>
      <c r="B198" s="141"/>
      <c r="C198" s="141"/>
      <c r="D198" s="141"/>
      <c r="E198" s="141"/>
      <c r="F198" s="141"/>
      <c r="G198" s="141"/>
      <c r="H198" s="141"/>
      <c r="I198" s="141"/>
      <c r="J198" s="29"/>
      <c r="K198" s="141"/>
      <c r="L198" s="141"/>
      <c r="M198" s="141"/>
      <c r="N198" s="141"/>
      <c r="O198" s="141"/>
      <c r="P198" s="141"/>
      <c r="Q198" s="29"/>
      <c r="R198" s="141"/>
      <c r="S198" s="141"/>
      <c r="T198" s="141"/>
      <c r="U198" s="141"/>
      <c r="V198" s="141"/>
      <c r="W198" s="16"/>
      <c r="X198" s="9"/>
    </row>
    <row r="199" spans="1:24" s="12" customFormat="1" ht="32.1" customHeight="1" x14ac:dyDescent="0.25">
      <c r="A199" s="15"/>
      <c r="B199" s="141"/>
      <c r="C199" s="38" t="s">
        <v>225</v>
      </c>
      <c r="D199" s="300"/>
      <c r="E199" s="301"/>
      <c r="F199" s="301"/>
      <c r="G199" s="301"/>
      <c r="H199" s="302"/>
      <c r="I199" s="39"/>
      <c r="J199" s="40"/>
      <c r="K199" s="300"/>
      <c r="L199" s="301"/>
      <c r="M199" s="301"/>
      <c r="N199" s="301"/>
      <c r="O199" s="302"/>
      <c r="P199" s="39"/>
      <c r="Q199" s="40"/>
      <c r="R199" s="300"/>
      <c r="S199" s="301"/>
      <c r="T199" s="301"/>
      <c r="U199" s="301"/>
      <c r="V199" s="302"/>
      <c r="W199" s="16"/>
      <c r="X199" s="102"/>
    </row>
    <row r="200" spans="1:24" s="12" customFormat="1" ht="5.0999999999999996" customHeight="1" x14ac:dyDescent="0.25">
      <c r="A200" s="15"/>
      <c r="B200" s="141"/>
      <c r="C200" s="141"/>
      <c r="D200" s="141"/>
      <c r="E200" s="141"/>
      <c r="F200" s="141"/>
      <c r="G200" s="141"/>
      <c r="H200" s="141"/>
      <c r="I200" s="141"/>
      <c r="J200" s="29"/>
      <c r="K200" s="141"/>
      <c r="L200" s="141"/>
      <c r="M200" s="141"/>
      <c r="N200" s="141"/>
      <c r="O200" s="141"/>
      <c r="P200" s="141"/>
      <c r="Q200" s="29"/>
      <c r="R200" s="141"/>
      <c r="S200" s="141"/>
      <c r="T200" s="141"/>
      <c r="U200" s="141"/>
      <c r="V200" s="141"/>
      <c r="W200" s="16"/>
      <c r="X200" s="9"/>
    </row>
    <row r="201" spans="1:24" s="12" customFormat="1" ht="32.1" customHeight="1" x14ac:dyDescent="0.25">
      <c r="A201" s="15"/>
      <c r="B201" s="141"/>
      <c r="C201" s="38" t="s">
        <v>140</v>
      </c>
      <c r="D201" s="300"/>
      <c r="E201" s="301"/>
      <c r="F201" s="301"/>
      <c r="G201" s="301"/>
      <c r="H201" s="302"/>
      <c r="I201" s="141"/>
      <c r="J201" s="29"/>
      <c r="K201" s="300"/>
      <c r="L201" s="301"/>
      <c r="M201" s="301"/>
      <c r="N201" s="301"/>
      <c r="O201" s="302"/>
      <c r="P201" s="141"/>
      <c r="Q201" s="29"/>
      <c r="R201" s="300"/>
      <c r="S201" s="301"/>
      <c r="T201" s="301"/>
      <c r="U201" s="301"/>
      <c r="V201" s="302"/>
      <c r="W201" s="16"/>
      <c r="X201" s="9"/>
    </row>
    <row r="202" spans="1:24" s="12" customFormat="1" ht="5.0999999999999996" customHeight="1" x14ac:dyDescent="0.25">
      <c r="A202" s="15"/>
      <c r="B202" s="141"/>
      <c r="C202" s="141"/>
      <c r="D202" s="141"/>
      <c r="E202" s="141"/>
      <c r="F202" s="141"/>
      <c r="G202" s="141"/>
      <c r="H202" s="141"/>
      <c r="I202" s="141"/>
      <c r="J202" s="29"/>
      <c r="K202" s="141"/>
      <c r="L202" s="141"/>
      <c r="M202" s="141"/>
      <c r="N202" s="141"/>
      <c r="O202" s="141"/>
      <c r="P202" s="141"/>
      <c r="Q202" s="29"/>
      <c r="R202" s="141"/>
      <c r="S202" s="141"/>
      <c r="T202" s="141"/>
      <c r="U202" s="141"/>
      <c r="V202" s="141"/>
      <c r="W202" s="16"/>
      <c r="X202" s="9"/>
    </row>
    <row r="203" spans="1:24" s="12" customFormat="1" x14ac:dyDescent="0.25">
      <c r="A203" s="15"/>
      <c r="B203" s="141"/>
      <c r="C203" s="38" t="s">
        <v>141</v>
      </c>
      <c r="D203" s="284"/>
      <c r="E203" s="285"/>
      <c r="F203" s="286"/>
      <c r="G203" s="141"/>
      <c r="H203" s="141"/>
      <c r="I203" s="141"/>
      <c r="J203" s="29"/>
      <c r="K203" s="284"/>
      <c r="L203" s="285"/>
      <c r="M203" s="286"/>
      <c r="N203" s="141"/>
      <c r="O203" s="141"/>
      <c r="P203" s="141"/>
      <c r="Q203" s="29"/>
      <c r="R203" s="284"/>
      <c r="S203" s="285"/>
      <c r="T203" s="286"/>
      <c r="U203" s="141"/>
      <c r="V203" s="141"/>
      <c r="W203" s="16"/>
      <c r="X203" s="9"/>
    </row>
    <row r="204" spans="1:24" s="12" customFormat="1" ht="3.95" customHeight="1" x14ac:dyDescent="0.25">
      <c r="A204" s="15"/>
      <c r="B204" s="141"/>
      <c r="C204" s="141"/>
      <c r="D204" s="141"/>
      <c r="E204" s="141"/>
      <c r="F204" s="141"/>
      <c r="G204" s="141"/>
      <c r="H204" s="141"/>
      <c r="I204" s="141"/>
      <c r="J204" s="29"/>
      <c r="K204" s="141"/>
      <c r="L204" s="141"/>
      <c r="M204" s="141"/>
      <c r="N204" s="141"/>
      <c r="O204" s="141"/>
      <c r="P204" s="141"/>
      <c r="Q204" s="29"/>
      <c r="R204" s="141"/>
      <c r="S204" s="141"/>
      <c r="T204" s="141"/>
      <c r="U204" s="141"/>
      <c r="V204" s="141"/>
      <c r="W204" s="16"/>
      <c r="X204" s="9"/>
    </row>
    <row r="205" spans="1:24" s="12" customFormat="1" hidden="1" x14ac:dyDescent="0.25">
      <c r="A205" s="15"/>
      <c r="B205" s="141"/>
      <c r="C205" s="38"/>
      <c r="D205" s="9"/>
      <c r="E205" s="141"/>
      <c r="F205" s="90"/>
      <c r="G205" s="141"/>
      <c r="H205" s="141"/>
      <c r="I205" s="141"/>
      <c r="J205" s="29"/>
      <c r="K205" s="9"/>
      <c r="L205" s="141"/>
      <c r="M205" s="141"/>
      <c r="N205" s="141"/>
      <c r="O205" s="141"/>
      <c r="P205" s="141"/>
      <c r="Q205" s="29"/>
      <c r="R205" s="9"/>
      <c r="S205" s="141"/>
      <c r="T205" s="141"/>
      <c r="U205" s="141"/>
      <c r="V205" s="141"/>
      <c r="W205" s="16"/>
      <c r="X205" s="9"/>
    </row>
    <row r="206" spans="1:24" s="12" customFormat="1" hidden="1" x14ac:dyDescent="0.25">
      <c r="A206" s="15"/>
      <c r="B206" s="141"/>
      <c r="C206" s="141"/>
      <c r="D206" s="141"/>
      <c r="E206" s="141"/>
      <c r="F206" s="141"/>
      <c r="G206" s="141"/>
      <c r="H206" s="141"/>
      <c r="I206" s="141"/>
      <c r="J206" s="29"/>
      <c r="K206" s="141"/>
      <c r="L206" s="141"/>
      <c r="M206" s="141"/>
      <c r="N206" s="141"/>
      <c r="O206" s="141"/>
      <c r="P206" s="141"/>
      <c r="Q206" s="29"/>
      <c r="R206" s="141"/>
      <c r="S206" s="141"/>
      <c r="T206" s="141"/>
      <c r="U206" s="141"/>
      <c r="V206" s="141"/>
      <c r="W206" s="16"/>
      <c r="X206" s="9"/>
    </row>
    <row r="207" spans="1:24" s="12" customFormat="1" hidden="1" x14ac:dyDescent="0.25">
      <c r="A207" s="15"/>
      <c r="B207" s="141"/>
      <c r="C207" s="31"/>
      <c r="D207" s="30"/>
      <c r="E207" s="141"/>
      <c r="F207" s="141"/>
      <c r="G207" s="141"/>
      <c r="H207" s="141"/>
      <c r="I207" s="141"/>
      <c r="J207" s="29"/>
      <c r="K207" s="30"/>
      <c r="L207" s="141"/>
      <c r="M207" s="141"/>
      <c r="N207" s="141"/>
      <c r="O207" s="141"/>
      <c r="P207" s="141"/>
      <c r="Q207" s="29"/>
      <c r="R207" s="30"/>
      <c r="S207" s="141"/>
      <c r="T207" s="141"/>
      <c r="U207" s="141"/>
      <c r="V207" s="141"/>
      <c r="W207" s="16"/>
      <c r="X207" s="9"/>
    </row>
    <row r="208" spans="1:24" s="12" customFormat="1" ht="3.95" hidden="1" customHeight="1" x14ac:dyDescent="0.25">
      <c r="A208" s="15"/>
      <c r="B208" s="141"/>
      <c r="C208" s="141"/>
      <c r="D208" s="141"/>
      <c r="E208" s="141"/>
      <c r="F208" s="141"/>
      <c r="G208" s="141"/>
      <c r="H208" s="141"/>
      <c r="I208" s="141"/>
      <c r="J208" s="29"/>
      <c r="K208" s="141"/>
      <c r="L208" s="141"/>
      <c r="M208" s="141"/>
      <c r="N208" s="141"/>
      <c r="O208" s="141"/>
      <c r="P208" s="141"/>
      <c r="Q208" s="29"/>
      <c r="R208" s="141"/>
      <c r="S208" s="141"/>
      <c r="T208" s="141"/>
      <c r="U208" s="141"/>
      <c r="V208" s="141"/>
      <c r="W208" s="16"/>
      <c r="X208" s="9"/>
    </row>
    <row r="209" spans="1:25" s="12" customFormat="1" x14ac:dyDescent="0.25">
      <c r="A209" s="15"/>
      <c r="B209" s="141"/>
      <c r="C209" s="38" t="s">
        <v>142</v>
      </c>
      <c r="D209" s="294"/>
      <c r="E209" s="295"/>
      <c r="F209" s="295"/>
      <c r="G209" s="295"/>
      <c r="H209" s="296"/>
      <c r="I209" s="141"/>
      <c r="J209" s="29"/>
      <c r="K209" s="294"/>
      <c r="L209" s="295"/>
      <c r="M209" s="295"/>
      <c r="N209" s="295"/>
      <c r="O209" s="296"/>
      <c r="P209" s="141"/>
      <c r="Q209" s="29"/>
      <c r="R209" s="294"/>
      <c r="S209" s="295"/>
      <c r="T209" s="295"/>
      <c r="U209" s="295"/>
      <c r="V209" s="296"/>
      <c r="W209" s="16"/>
      <c r="X209" s="9"/>
    </row>
    <row r="210" spans="1:25" s="12" customFormat="1" ht="3.95" customHeight="1" x14ac:dyDescent="0.25">
      <c r="A210" s="15"/>
      <c r="B210" s="141"/>
      <c r="C210" s="141"/>
      <c r="D210" s="141"/>
      <c r="E210" s="141"/>
      <c r="F210" s="141"/>
      <c r="G210" s="141"/>
      <c r="H210" s="141"/>
      <c r="I210" s="141"/>
      <c r="J210" s="29"/>
      <c r="K210" s="141"/>
      <c r="L210" s="141"/>
      <c r="M210" s="141"/>
      <c r="N210" s="141"/>
      <c r="O210" s="141"/>
      <c r="P210" s="141"/>
      <c r="Q210" s="29"/>
      <c r="R210" s="141"/>
      <c r="S210" s="141"/>
      <c r="T210" s="141"/>
      <c r="U210" s="141"/>
      <c r="V210" s="141"/>
      <c r="W210" s="16"/>
      <c r="X210" s="9"/>
    </row>
    <row r="211" spans="1:25" s="12" customFormat="1" x14ac:dyDescent="0.25">
      <c r="A211" s="15"/>
      <c r="B211" s="141"/>
      <c r="C211" s="38" t="s">
        <v>143</v>
      </c>
      <c r="D211" s="294"/>
      <c r="E211" s="295"/>
      <c r="F211" s="296"/>
      <c r="G211" s="20"/>
      <c r="H211" s="20"/>
      <c r="I211" s="141"/>
      <c r="J211" s="29"/>
      <c r="K211" s="294"/>
      <c r="L211" s="295"/>
      <c r="M211" s="296"/>
      <c r="N211" s="20"/>
      <c r="O211" s="20"/>
      <c r="P211" s="141"/>
      <c r="Q211" s="29"/>
      <c r="R211" s="294"/>
      <c r="S211" s="295"/>
      <c r="T211" s="296"/>
      <c r="U211" s="20"/>
      <c r="V211" s="20"/>
      <c r="W211" s="16"/>
      <c r="X211" s="9"/>
    </row>
    <row r="212" spans="1:25" s="12" customFormat="1" ht="3.95" customHeight="1" x14ac:dyDescent="0.25">
      <c r="A212" s="15"/>
      <c r="B212" s="141"/>
      <c r="C212" s="141"/>
      <c r="D212" s="141"/>
      <c r="E212" s="141"/>
      <c r="F212" s="141"/>
      <c r="G212" s="141"/>
      <c r="H212" s="141"/>
      <c r="I212" s="141"/>
      <c r="J212" s="29"/>
      <c r="K212" s="141"/>
      <c r="L212" s="141"/>
      <c r="M212" s="141"/>
      <c r="N212" s="141"/>
      <c r="O212" s="141"/>
      <c r="P212" s="141"/>
      <c r="Q212" s="29"/>
      <c r="R212" s="141"/>
      <c r="S212" s="141"/>
      <c r="T212" s="141"/>
      <c r="U212" s="141"/>
      <c r="V212" s="141"/>
      <c r="W212" s="16"/>
      <c r="X212" s="9"/>
    </row>
    <row r="213" spans="1:25" s="12" customFormat="1" x14ac:dyDescent="0.25">
      <c r="A213" s="15"/>
      <c r="B213" s="141"/>
      <c r="C213" s="21" t="s">
        <v>144</v>
      </c>
      <c r="D213" s="83"/>
      <c r="E213" s="56"/>
      <c r="F213" s="83"/>
      <c r="G213" s="56"/>
      <c r="H213" s="83"/>
      <c r="I213" s="141"/>
      <c r="J213" s="29"/>
      <c r="K213" s="83"/>
      <c r="L213" s="141"/>
      <c r="M213" s="83"/>
      <c r="N213" s="141"/>
      <c r="O213" s="83"/>
      <c r="P213" s="141"/>
      <c r="Q213" s="29"/>
      <c r="R213" s="83"/>
      <c r="S213" s="141"/>
      <c r="T213" s="83"/>
      <c r="U213" s="141"/>
      <c r="V213" s="83"/>
      <c r="W213" s="16"/>
      <c r="X213" s="9"/>
    </row>
    <row r="214" spans="1:25" s="12" customFormat="1" ht="3.95" customHeight="1" x14ac:dyDescent="0.25">
      <c r="A214" s="15"/>
      <c r="B214" s="141"/>
      <c r="C214" s="141"/>
      <c r="D214" s="141"/>
      <c r="E214" s="141"/>
      <c r="F214" s="141"/>
      <c r="G214" s="141"/>
      <c r="H214" s="141"/>
      <c r="I214" s="141"/>
      <c r="J214" s="29"/>
      <c r="K214" s="141"/>
      <c r="L214" s="141"/>
      <c r="M214" s="141"/>
      <c r="N214" s="141"/>
      <c r="O214" s="141"/>
      <c r="P214" s="141"/>
      <c r="Q214" s="29"/>
      <c r="R214" s="141"/>
      <c r="S214" s="141"/>
      <c r="T214" s="141"/>
      <c r="U214" s="141"/>
      <c r="V214" s="141"/>
      <c r="W214" s="16"/>
      <c r="X214" s="9"/>
    </row>
    <row r="215" spans="1:25" s="12" customFormat="1" x14ac:dyDescent="0.25">
      <c r="A215" s="15"/>
      <c r="B215" s="141"/>
      <c r="C215" s="38" t="s">
        <v>145</v>
      </c>
      <c r="D215" s="83"/>
      <c r="E215" s="141"/>
      <c r="F215" s="288"/>
      <c r="G215" s="288"/>
      <c r="H215" s="288"/>
      <c r="I215" s="141"/>
      <c r="J215" s="29"/>
      <c r="K215" s="83"/>
      <c r="L215" s="141"/>
      <c r="M215" s="140"/>
      <c r="N215" s="141"/>
      <c r="O215" s="141"/>
      <c r="P215" s="141"/>
      <c r="Q215" s="29"/>
      <c r="R215" s="83"/>
      <c r="S215" s="141"/>
      <c r="T215" s="140"/>
      <c r="U215" s="141"/>
      <c r="V215" s="141"/>
      <c r="W215" s="16"/>
      <c r="X215" s="9"/>
    </row>
    <row r="216" spans="1:25" s="12" customFormat="1" ht="3.95" customHeight="1" x14ac:dyDescent="0.25">
      <c r="A216" s="15"/>
      <c r="B216" s="141"/>
      <c r="C216" s="141"/>
      <c r="D216" s="141"/>
      <c r="E216" s="141"/>
      <c r="F216" s="288"/>
      <c r="G216" s="288"/>
      <c r="H216" s="288"/>
      <c r="I216" s="141"/>
      <c r="J216" s="29"/>
      <c r="K216" s="141"/>
      <c r="L216" s="141"/>
      <c r="M216" s="141"/>
      <c r="N216" s="141"/>
      <c r="O216" s="141"/>
      <c r="P216" s="141"/>
      <c r="Q216" s="29"/>
      <c r="R216" s="141"/>
      <c r="S216" s="141"/>
      <c r="T216" s="141"/>
      <c r="U216" s="141"/>
      <c r="V216" s="141"/>
      <c r="W216" s="16"/>
      <c r="X216" s="9"/>
    </row>
    <row r="217" spans="1:25" s="12" customFormat="1" ht="16.5" customHeight="1" x14ac:dyDescent="0.25">
      <c r="A217" s="15"/>
      <c r="B217" s="141"/>
      <c r="C217" s="38" t="s">
        <v>146</v>
      </c>
      <c r="D217" s="83"/>
      <c r="E217" s="141"/>
      <c r="F217" s="288"/>
      <c r="G217" s="288"/>
      <c r="H217" s="288"/>
      <c r="I217" s="141"/>
      <c r="J217" s="29"/>
      <c r="K217" s="83"/>
      <c r="L217" s="141"/>
      <c r="M217" s="289"/>
      <c r="N217" s="289"/>
      <c r="O217" s="289"/>
      <c r="P217" s="141"/>
      <c r="Q217" s="29"/>
      <c r="R217" s="83"/>
      <c r="S217" s="141"/>
      <c r="T217" s="289"/>
      <c r="U217" s="289"/>
      <c r="V217" s="289"/>
      <c r="W217" s="16"/>
      <c r="X217" s="9"/>
    </row>
    <row r="218" spans="1:25" s="12" customFormat="1" ht="3.95" customHeight="1" x14ac:dyDescent="0.25">
      <c r="A218" s="15"/>
      <c r="B218" s="141"/>
      <c r="C218" s="141"/>
      <c r="D218" s="141"/>
      <c r="E218" s="141"/>
      <c r="F218" s="141"/>
      <c r="G218" s="141"/>
      <c r="H218" s="141"/>
      <c r="I218" s="141"/>
      <c r="J218" s="29"/>
      <c r="K218" s="141"/>
      <c r="L218" s="141"/>
      <c r="M218" s="141"/>
      <c r="N218" s="141"/>
      <c r="O218" s="141"/>
      <c r="P218" s="141"/>
      <c r="Q218" s="29"/>
      <c r="R218" s="141"/>
      <c r="S218" s="141"/>
      <c r="T218" s="141"/>
      <c r="U218" s="141"/>
      <c r="V218" s="141"/>
      <c r="W218" s="16"/>
      <c r="X218" s="9"/>
    </row>
    <row r="219" spans="1:25" s="12" customFormat="1" x14ac:dyDescent="0.25">
      <c r="A219" s="15"/>
      <c r="B219" s="141"/>
      <c r="C219" s="38" t="s">
        <v>147</v>
      </c>
      <c r="D219" s="278"/>
      <c r="E219" s="279"/>
      <c r="F219" s="280"/>
      <c r="G219" s="209"/>
      <c r="H219" s="209"/>
      <c r="I219" s="141"/>
      <c r="J219" s="29"/>
      <c r="K219" s="278"/>
      <c r="L219" s="279"/>
      <c r="M219" s="280"/>
      <c r="N219" s="209"/>
      <c r="O219" s="209"/>
      <c r="P219" s="141"/>
      <c r="Q219" s="29"/>
      <c r="R219" s="278"/>
      <c r="S219" s="279"/>
      <c r="T219" s="280"/>
      <c r="U219" s="209"/>
      <c r="V219" s="209"/>
      <c r="W219" s="16"/>
      <c r="X219" s="9"/>
    </row>
    <row r="220" spans="1:25" s="12" customFormat="1" ht="3.95" customHeight="1" x14ac:dyDescent="0.25">
      <c r="A220" s="15"/>
      <c r="B220" s="141"/>
      <c r="C220" s="141"/>
      <c r="D220" s="141"/>
      <c r="E220" s="141"/>
      <c r="F220" s="141"/>
      <c r="G220" s="141"/>
      <c r="H220" s="141"/>
      <c r="I220" s="141"/>
      <c r="J220" s="29"/>
      <c r="K220" s="141"/>
      <c r="L220" s="141"/>
      <c r="M220" s="141"/>
      <c r="N220" s="141"/>
      <c r="O220" s="141"/>
      <c r="P220" s="141"/>
      <c r="Q220" s="29"/>
      <c r="R220" s="141"/>
      <c r="S220" s="141"/>
      <c r="T220" s="141"/>
      <c r="U220" s="141"/>
      <c r="V220" s="141"/>
      <c r="W220" s="16"/>
      <c r="X220" s="9"/>
    </row>
    <row r="221" spans="1:25" s="12" customFormat="1" x14ac:dyDescent="0.25">
      <c r="A221" s="15"/>
      <c r="B221" s="141"/>
      <c r="C221" s="38" t="s">
        <v>148</v>
      </c>
      <c r="D221" s="30" t="s">
        <v>149</v>
      </c>
      <c r="E221" s="20"/>
      <c r="F221" s="30" t="s">
        <v>192</v>
      </c>
      <c r="G221" s="32"/>
      <c r="H221" s="20"/>
      <c r="I221" s="141"/>
      <c r="J221" s="29"/>
      <c r="K221" s="30" t="s">
        <v>149</v>
      </c>
      <c r="L221" s="20"/>
      <c r="M221" s="30" t="s">
        <v>1038</v>
      </c>
      <c r="N221" s="32"/>
      <c r="O221" s="20"/>
      <c r="P221" s="141"/>
      <c r="Q221" s="29"/>
      <c r="R221" s="30" t="s">
        <v>149</v>
      </c>
      <c r="S221" s="20"/>
      <c r="T221" s="30" t="s">
        <v>192</v>
      </c>
      <c r="U221" s="32"/>
      <c r="V221" s="20"/>
      <c r="W221" s="16"/>
      <c r="X221" s="9"/>
    </row>
    <row r="222" spans="1:25" s="12" customFormat="1" ht="16.5" customHeight="1" x14ac:dyDescent="0.25">
      <c r="A222" s="15"/>
      <c r="B222" s="141"/>
      <c r="C222" s="141"/>
      <c r="D222" s="33" t="s">
        <v>150</v>
      </c>
      <c r="E222" s="141"/>
      <c r="F222" s="34" t="s">
        <v>190</v>
      </c>
      <c r="G222" s="141"/>
      <c r="H222" s="141"/>
      <c r="I222" s="141"/>
      <c r="J222" s="29"/>
      <c r="K222" s="33" t="s">
        <v>150</v>
      </c>
      <c r="L222" s="141"/>
      <c r="M222" s="34" t="s">
        <v>382</v>
      </c>
      <c r="N222" s="141"/>
      <c r="O222" s="141"/>
      <c r="P222" s="141"/>
      <c r="Q222" s="29"/>
      <c r="R222" s="33" t="s">
        <v>150</v>
      </c>
      <c r="S222" s="141"/>
      <c r="T222" s="34" t="s">
        <v>190</v>
      </c>
      <c r="U222" s="141"/>
      <c r="V222" s="141"/>
      <c r="W222" s="16"/>
      <c r="X222" s="9"/>
      <c r="Y222" s="64"/>
    </row>
    <row r="223" spans="1:25" s="12" customFormat="1" ht="17.25" customHeight="1" x14ac:dyDescent="0.3">
      <c r="A223" s="15"/>
      <c r="B223" s="141"/>
      <c r="C223" s="141"/>
      <c r="D223" s="9"/>
      <c r="E223" s="141"/>
      <c r="F223" s="34" t="s">
        <v>189</v>
      </c>
      <c r="G223" s="141"/>
      <c r="H223" s="141"/>
      <c r="I223" s="141"/>
      <c r="J223" s="29"/>
      <c r="K223" s="33"/>
      <c r="L223" s="141"/>
      <c r="M223" s="141" t="s">
        <v>191</v>
      </c>
      <c r="N223" s="141"/>
      <c r="O223" s="141"/>
      <c r="P223" s="141"/>
      <c r="Q223" s="29"/>
      <c r="R223" s="20"/>
      <c r="S223" s="141"/>
      <c r="T223" s="69" t="s">
        <v>191</v>
      </c>
      <c r="U223" s="141"/>
      <c r="V223" s="141"/>
      <c r="W223" s="16"/>
      <c r="X223" s="9"/>
    </row>
    <row r="224" spans="1:25" s="12" customFormat="1" ht="9.75" customHeight="1" x14ac:dyDescent="0.25">
      <c r="A224" s="15"/>
      <c r="B224" s="141"/>
      <c r="C224" s="141"/>
      <c r="D224" s="141"/>
      <c r="E224" s="141"/>
      <c r="F224" s="141"/>
      <c r="G224" s="141"/>
      <c r="H224" s="141"/>
      <c r="I224" s="141"/>
      <c r="J224" s="29"/>
      <c r="K224" s="141"/>
      <c r="L224" s="141"/>
      <c r="M224" s="141"/>
      <c r="N224" s="141"/>
      <c r="O224" s="141"/>
      <c r="P224" s="141"/>
      <c r="Q224" s="29"/>
      <c r="R224" s="141"/>
      <c r="S224" s="141"/>
      <c r="T224" s="141"/>
      <c r="U224" s="141"/>
      <c r="V224" s="141"/>
      <c r="W224" s="16"/>
      <c r="X224" s="9"/>
    </row>
    <row r="225" spans="1:24" s="12" customFormat="1" ht="16.5" customHeight="1" x14ac:dyDescent="0.25">
      <c r="A225" s="15"/>
      <c r="B225" s="141"/>
      <c r="C225" s="38" t="s">
        <v>151</v>
      </c>
      <c r="D225" s="30" t="s">
        <v>152</v>
      </c>
      <c r="E225" s="20"/>
      <c r="F225" s="20"/>
      <c r="G225" s="20"/>
      <c r="H225" s="20"/>
      <c r="I225" s="141"/>
      <c r="J225" s="29"/>
      <c r="K225" s="30" t="s">
        <v>152</v>
      </c>
      <c r="L225" s="20"/>
      <c r="M225" s="20"/>
      <c r="N225" s="20"/>
      <c r="O225" s="20"/>
      <c r="P225" s="141"/>
      <c r="Q225" s="29"/>
      <c r="R225" s="30" t="s">
        <v>152</v>
      </c>
      <c r="S225" s="20"/>
      <c r="T225" s="20"/>
      <c r="U225" s="20"/>
      <c r="V225" s="20"/>
      <c r="W225" s="16"/>
      <c r="X225" s="9"/>
    </row>
    <row r="226" spans="1:24" s="12" customFormat="1" ht="16.5" customHeight="1" x14ac:dyDescent="0.25">
      <c r="A226" s="15"/>
      <c r="B226" s="141"/>
      <c r="C226" s="141"/>
      <c r="D226" s="33" t="s">
        <v>153</v>
      </c>
      <c r="E226" s="141"/>
      <c r="F226" s="141"/>
      <c r="G226" s="141"/>
      <c r="H226" s="141"/>
      <c r="I226" s="141"/>
      <c r="J226" s="29"/>
      <c r="K226" s="33" t="s">
        <v>153</v>
      </c>
      <c r="L226" s="141"/>
      <c r="M226" s="141"/>
      <c r="N226" s="141"/>
      <c r="O226" s="141"/>
      <c r="P226" s="141"/>
      <c r="Q226" s="29"/>
      <c r="R226" s="33" t="s">
        <v>153</v>
      </c>
      <c r="S226" s="141"/>
      <c r="T226" s="141"/>
      <c r="U226" s="141"/>
      <c r="V226" s="141"/>
      <c r="W226" s="16"/>
      <c r="X226" s="9"/>
    </row>
    <row r="227" spans="1:24" s="12" customFormat="1" ht="3.95" customHeight="1" x14ac:dyDescent="0.25">
      <c r="A227" s="15"/>
      <c r="B227" s="141"/>
      <c r="C227" s="141"/>
      <c r="D227" s="141"/>
      <c r="E227" s="141"/>
      <c r="F227" s="141"/>
      <c r="G227" s="141"/>
      <c r="H227" s="141"/>
      <c r="I227" s="141"/>
      <c r="J227" s="29"/>
      <c r="K227" s="141"/>
      <c r="L227" s="141"/>
      <c r="M227" s="141"/>
      <c r="N227" s="141"/>
      <c r="O227" s="141"/>
      <c r="P227" s="141"/>
      <c r="Q227" s="29"/>
      <c r="R227" s="141"/>
      <c r="S227" s="141"/>
      <c r="T227" s="141"/>
      <c r="U227" s="141"/>
      <c r="V227" s="141"/>
      <c r="W227" s="16"/>
      <c r="X227" s="9"/>
    </row>
    <row r="228" spans="1:24" s="12" customFormat="1" x14ac:dyDescent="0.25">
      <c r="A228" s="15"/>
      <c r="B228" s="141"/>
      <c r="C228" s="38" t="s">
        <v>2014</v>
      </c>
      <c r="D228" s="284"/>
      <c r="E228" s="285"/>
      <c r="F228" s="286"/>
      <c r="G228" s="141"/>
      <c r="H228" s="96" t="s">
        <v>679</v>
      </c>
      <c r="I228" s="141"/>
      <c r="J228" s="29"/>
      <c r="K228" s="284"/>
      <c r="L228" s="285"/>
      <c r="M228" s="286"/>
      <c r="N228" s="141"/>
      <c r="O228" s="96" t="s">
        <v>679</v>
      </c>
      <c r="P228" s="141"/>
      <c r="Q228" s="29"/>
      <c r="R228" s="284"/>
      <c r="S228" s="285"/>
      <c r="T228" s="286"/>
      <c r="U228" s="141"/>
      <c r="V228" s="96" t="s">
        <v>679</v>
      </c>
      <c r="W228" s="16"/>
      <c r="X228" s="9"/>
    </row>
    <row r="229" spans="1:24" s="12" customFormat="1" ht="5.0999999999999996" customHeight="1" thickBot="1" x14ac:dyDescent="0.3">
      <c r="A229" s="25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8"/>
      <c r="X229" s="9"/>
    </row>
  </sheetData>
  <sheetProtection algorithmName="SHA-512" hashValue="yyY4esdmhMTOzemZh69aJl3u+99hJ9b8NRP3+j5hmSDwBd0GfSSFfXqHRn4RGonHhL296td/9+cnzZC3rJnLKQ==" saltValue="ulEIC6ks/1e7kEilfx+GCw==" spinCount="100000" sheet="1" selectLockedCells="1"/>
  <dataConsolidate/>
  <mergeCells count="185">
    <mergeCell ref="M25:V29"/>
    <mergeCell ref="D25:F25"/>
    <mergeCell ref="D11:J11"/>
    <mergeCell ref="D13:J13"/>
    <mergeCell ref="D12:J12"/>
    <mergeCell ref="D14:J14"/>
    <mergeCell ref="O11:T11"/>
    <mergeCell ref="O12:T12"/>
    <mergeCell ref="O13:T13"/>
    <mergeCell ref="O14:T14"/>
    <mergeCell ref="D23:J23"/>
    <mergeCell ref="D19:E19"/>
    <mergeCell ref="O22:U22"/>
    <mergeCell ref="H21:L21"/>
    <mergeCell ref="O23:V23"/>
    <mergeCell ref="H17:O17"/>
    <mergeCell ref="M82:O82"/>
    <mergeCell ref="T82:V82"/>
    <mergeCell ref="J84:L84"/>
    <mergeCell ref="M84:O84"/>
    <mergeCell ref="T84:V84"/>
    <mergeCell ref="D52:V52"/>
    <mergeCell ref="B52:C52"/>
    <mergeCell ref="A86:C86"/>
    <mergeCell ref="D86:V86"/>
    <mergeCell ref="D61:V61"/>
    <mergeCell ref="K57:M57"/>
    <mergeCell ref="T57:V57"/>
    <mergeCell ref="D3:F3"/>
    <mergeCell ref="C1:O1"/>
    <mergeCell ref="D31:J31"/>
    <mergeCell ref="N31:Q31"/>
    <mergeCell ref="D111:H111"/>
    <mergeCell ref="D27:F27"/>
    <mergeCell ref="R37:T37"/>
    <mergeCell ref="R41:T41"/>
    <mergeCell ref="D37:J37"/>
    <mergeCell ref="D41:J41"/>
    <mergeCell ref="D33:J33"/>
    <mergeCell ref="D29:J29"/>
    <mergeCell ref="K31:M31"/>
    <mergeCell ref="K101:M101"/>
    <mergeCell ref="R99:T99"/>
    <mergeCell ref="R101:T101"/>
    <mergeCell ref="B47:C47"/>
    <mergeCell ref="D88:V88"/>
    <mergeCell ref="D90:V90"/>
    <mergeCell ref="D47:V47"/>
    <mergeCell ref="D39:F39"/>
    <mergeCell ref="D92:V92"/>
    <mergeCell ref="N7:O7"/>
    <mergeCell ref="D5:H5"/>
    <mergeCell ref="N5:R5"/>
    <mergeCell ref="H19:N19"/>
    <mergeCell ref="D9:F9"/>
    <mergeCell ref="D129:F129"/>
    <mergeCell ref="K129:M129"/>
    <mergeCell ref="R129:T129"/>
    <mergeCell ref="D97:H97"/>
    <mergeCell ref="K97:O97"/>
    <mergeCell ref="R97:V97"/>
    <mergeCell ref="K105:O105"/>
    <mergeCell ref="K113:M113"/>
    <mergeCell ref="R113:T113"/>
    <mergeCell ref="R109:V109"/>
    <mergeCell ref="T127:V127"/>
    <mergeCell ref="D103:H103"/>
    <mergeCell ref="K103:O103"/>
    <mergeCell ref="R103:V103"/>
    <mergeCell ref="F125:H125"/>
    <mergeCell ref="F126:H126"/>
    <mergeCell ref="D113:F113"/>
    <mergeCell ref="D119:H119"/>
    <mergeCell ref="K119:O119"/>
    <mergeCell ref="R119:V119"/>
    <mergeCell ref="D99:F99"/>
    <mergeCell ref="D101:F101"/>
    <mergeCell ref="K99:M99"/>
    <mergeCell ref="D142:H142"/>
    <mergeCell ref="K142:O142"/>
    <mergeCell ref="R142:V142"/>
    <mergeCell ref="D148:H148"/>
    <mergeCell ref="K148:O148"/>
    <mergeCell ref="R148:V148"/>
    <mergeCell ref="D64:V64"/>
    <mergeCell ref="D107:H107"/>
    <mergeCell ref="K107:O107"/>
    <mergeCell ref="R107:V107"/>
    <mergeCell ref="K111:O111"/>
    <mergeCell ref="R111:V111"/>
    <mergeCell ref="D121:F121"/>
    <mergeCell ref="K121:M121"/>
    <mergeCell ref="R121:T121"/>
    <mergeCell ref="R105:V105"/>
    <mergeCell ref="K109:O109"/>
    <mergeCell ref="D109:H109"/>
    <mergeCell ref="D105:H105"/>
    <mergeCell ref="R138:T138"/>
    <mergeCell ref="D138:F138"/>
    <mergeCell ref="K138:M138"/>
    <mergeCell ref="F127:H127"/>
    <mergeCell ref="M127:O127"/>
    <mergeCell ref="D156:H156"/>
    <mergeCell ref="K156:O156"/>
    <mergeCell ref="R156:V156"/>
    <mergeCell ref="D150:H150"/>
    <mergeCell ref="K150:O150"/>
    <mergeCell ref="R150:V150"/>
    <mergeCell ref="D152:H152"/>
    <mergeCell ref="K152:O152"/>
    <mergeCell ref="R152:V152"/>
    <mergeCell ref="D154:H154"/>
    <mergeCell ref="K154:O154"/>
    <mergeCell ref="R154:V154"/>
    <mergeCell ref="D166:F166"/>
    <mergeCell ref="K166:M166"/>
    <mergeCell ref="R166:T166"/>
    <mergeCell ref="F170:H170"/>
    <mergeCell ref="F171:H171"/>
    <mergeCell ref="D158:F158"/>
    <mergeCell ref="K158:M158"/>
    <mergeCell ref="R158:T158"/>
    <mergeCell ref="D164:H164"/>
    <mergeCell ref="K164:O164"/>
    <mergeCell ref="R164:V164"/>
    <mergeCell ref="D199:H199"/>
    <mergeCell ref="K199:O199"/>
    <mergeCell ref="R199:V199"/>
    <mergeCell ref="D201:H201"/>
    <mergeCell ref="K201:O201"/>
    <mergeCell ref="R201:V201"/>
    <mergeCell ref="D193:H193"/>
    <mergeCell ref="K193:O193"/>
    <mergeCell ref="R193:V193"/>
    <mergeCell ref="D197:H197"/>
    <mergeCell ref="K197:O197"/>
    <mergeCell ref="R197:V197"/>
    <mergeCell ref="R219:T219"/>
    <mergeCell ref="K219:M219"/>
    <mergeCell ref="D219:F219"/>
    <mergeCell ref="D228:F228"/>
    <mergeCell ref="K228:M228"/>
    <mergeCell ref="R228:T228"/>
    <mergeCell ref="B67:C67"/>
    <mergeCell ref="F215:H215"/>
    <mergeCell ref="F216:H216"/>
    <mergeCell ref="F217:H217"/>
    <mergeCell ref="M217:O217"/>
    <mergeCell ref="T217:V217"/>
    <mergeCell ref="D209:H209"/>
    <mergeCell ref="K209:O209"/>
    <mergeCell ref="R209:V209"/>
    <mergeCell ref="D211:F211"/>
    <mergeCell ref="K211:M211"/>
    <mergeCell ref="R211:T211"/>
    <mergeCell ref="D195:H195"/>
    <mergeCell ref="K195:O195"/>
    <mergeCell ref="R195:V195"/>
    <mergeCell ref="D203:F203"/>
    <mergeCell ref="K203:M203"/>
    <mergeCell ref="R203:T203"/>
    <mergeCell ref="D189:F189"/>
    <mergeCell ref="K189:M189"/>
    <mergeCell ref="R189:T189"/>
    <mergeCell ref="D191:F191"/>
    <mergeCell ref="K191:M191"/>
    <mergeCell ref="R191:T191"/>
    <mergeCell ref="D144:F144"/>
    <mergeCell ref="K144:M144"/>
    <mergeCell ref="R144:T144"/>
    <mergeCell ref="D146:F146"/>
    <mergeCell ref="K146:M146"/>
    <mergeCell ref="R146:T146"/>
    <mergeCell ref="D183:F183"/>
    <mergeCell ref="K183:M183"/>
    <mergeCell ref="R183:T183"/>
    <mergeCell ref="D187:H187"/>
    <mergeCell ref="K187:O187"/>
    <mergeCell ref="R187:V187"/>
    <mergeCell ref="F172:H172"/>
    <mergeCell ref="M172:O172"/>
    <mergeCell ref="T172:V172"/>
    <mergeCell ref="D174:F174"/>
    <mergeCell ref="K174:M174"/>
    <mergeCell ref="R174:T174"/>
  </mergeCells>
  <dataValidations count="38">
    <dataValidation type="decimal" operator="greaterThan" allowBlank="1" showInputMessage="1" showErrorMessage="1" error="Only enter numeric values please!" sqref="V123 F123 H123 K123 M123 O123 R123 T123 V168 F168 H168 K168 M168 O168 R168 T168 V213 F213 H213 K213 M213 O213 R213 T213 D123 D168 D213" xr:uid="{00000000-0002-0000-0100-000000000000}">
      <formula1>0</formula1>
    </dataValidation>
    <dataValidation type="list" allowBlank="1" showInputMessage="1" showErrorMessage="1" errorTitle="PNP" error="You must select a PNP from the list" sqref="D4:H4" xr:uid="{00000000-0002-0000-0100-000001000000}">
      <formula1>pd_pnp</formula1>
    </dataValidation>
    <dataValidation type="list" allowBlank="1" showInputMessage="1" showErrorMessage="1" sqref="R109:V109" xr:uid="{00000000-0002-0000-0100-000002000000}">
      <formula1>INDIRECT(SUBSTITUTE(Wnd3Cat," ","_"))</formula1>
    </dataValidation>
    <dataValidation type="list" allowBlank="1" showInputMessage="1" showErrorMessage="1" sqref="D103:H103 D148:H148 D193:H193" xr:uid="{00000000-0002-0000-0100-000003000000}">
      <formula1>Location</formula1>
    </dataValidation>
    <dataValidation type="list" allowBlank="1" showInputMessage="1" showErrorMessage="1" sqref="O20 D20 O18 D17:D18" xr:uid="{00000000-0002-0000-0100-000004000000}">
      <formula1>"Home, Hospital, Other"</formula1>
    </dataValidation>
    <dataValidation type="list" allowBlank="1" showInputMessage="1" showErrorMessage="1" sqref="D30" xr:uid="{00000000-0002-0000-0100-000005000000}">
      <formula1>Territory</formula1>
    </dataValidation>
    <dataValidation type="list" allowBlank="1" showInputMessage="1" showErrorMessage="1" errorTitle="Wound Location" error="Please select from the list" sqref="K103:O103 R103:V103 K148:O148 R148:V148 K193:O193 R193:V193" xr:uid="{00000000-0002-0000-0100-000006000000}">
      <formula1>Location</formula1>
    </dataValidation>
    <dataValidation type="list" allowBlank="1" showInputMessage="1" showErrorMessage="1" sqref="D113:F113 K113:M113 R113:T113 D158:F158 K158:M158 R158:T158 D203:F203 K203:M203 R203:T203" xr:uid="{00000000-0002-0000-0100-000007000000}">
      <formula1>"Chronic, Acute"</formula1>
    </dataValidation>
    <dataValidation type="list" allowBlank="1" showInputMessage="1" showErrorMessage="1" sqref="D121:F121 R121:T121 K121:M121 D166:F166 R166:T166 K166:M166 D211:F211 R211:T211 K211:M211" xr:uid="{00000000-0002-0000-0100-000008000000}">
      <formula1>WndEdge</formula1>
    </dataValidation>
    <dataValidation type="list" allowBlank="1" showInputMessage="1" showErrorMessage="1" sqref="D107:H107 K107:O107 R107:V107 D152:H152 K152:O152 R152:V152 D197:H197 K197:O197 R197:V197" xr:uid="{00000000-0002-0000-0100-000009000000}">
      <formula1>WoundCat</formula1>
    </dataValidation>
    <dataValidation type="list" allowBlank="1" showInputMessage="1" showErrorMessage="1" sqref="D109:H109" xr:uid="{00000000-0002-0000-0100-00000A000000}">
      <formula1>INDIRECT(SUBSTITUTE(Wnd1Cat," ","_"))</formula1>
    </dataValidation>
    <dataValidation type="list" allowBlank="1" showInputMessage="1" showErrorMessage="1" sqref="D111" xr:uid="{00000000-0002-0000-0100-00000B000000}">
      <formula1>INDIRECT(SUBSTITUTE(SUBSTITUTE(SUBSTITUTE(SUBSTITUTE(wd_1type,"-",""),"(",""),")","")," ","_"))</formula1>
    </dataValidation>
    <dataValidation type="list" allowBlank="1" showInputMessage="1" showErrorMessage="1" sqref="K109:O109" xr:uid="{00000000-0002-0000-0100-00000C000000}">
      <formula1>INDIRECT(SUBSTITUTE(Wnd2Cat," ","_"))</formula1>
    </dataValidation>
    <dataValidation type="list" allowBlank="1" showInputMessage="1" showErrorMessage="1" sqref="K111" xr:uid="{00000000-0002-0000-0100-00000D000000}">
      <formula1>INDIRECT(SUBSTITUTE(SUBSTITUTE(SUBSTITUTE(SUBSTITUTE(wd_2type,"-",""),"(",""),")","")," ","_"))</formula1>
    </dataValidation>
    <dataValidation type="list" allowBlank="1" showInputMessage="1" showErrorMessage="1" sqref="R111" xr:uid="{00000000-0002-0000-0100-00000E000000}">
      <formula1>INDIRECT(SUBSTITUTE(SUBSTITUTE(SUBSTITUTE(SUBSTITUTE(wd_3type,"-",""),"(",""),")","")," ","_"))</formula1>
    </dataValidation>
    <dataValidation type="list" allowBlank="1" showInputMessage="1" showErrorMessage="1" sqref="D138 U228 K138 R138 N138 D183 N228 K183 R183 N183 D228 U183 K228 R228 U138" xr:uid="{00000000-0002-0000-0100-00000F000000}">
      <formula1>Exudate</formula1>
    </dataValidation>
    <dataValidation allowBlank="1" showInputMessage="1" showErrorMessage="1" errorTitle="Medical Aid" error="You must select the medical aid from the list, or choose OTHER" sqref="H21:L21" xr:uid="{00000000-0002-0000-0100-000010000000}"/>
    <dataValidation type="list" allowBlank="1" showInputMessage="1" showErrorMessage="1" sqref="D22 I18:L18 I20:L20" xr:uid="{00000000-0002-0000-0100-000011000000}">
      <formula1>HospitalList</formula1>
    </dataValidation>
    <dataValidation type="list" allowBlank="1" showInputMessage="1" showErrorMessage="1" sqref="D154:H154" xr:uid="{00000000-0002-0000-0100-000012000000}">
      <formula1>INDIRECT(SUBSTITUTE(Wnd4Cat," ","_"))</formula1>
    </dataValidation>
    <dataValidation type="list" allowBlank="1" showInputMessage="1" showErrorMessage="1" sqref="K154:O154" xr:uid="{00000000-0002-0000-0100-000013000000}">
      <formula1>INDIRECT(SUBSTITUTE(Wnd5Cat," ","_"))</formula1>
    </dataValidation>
    <dataValidation type="list" allowBlank="1" showInputMessage="1" showErrorMessage="1" sqref="R154:V154" xr:uid="{00000000-0002-0000-0100-000014000000}">
      <formula1>INDIRECT(SUBSTITUTE(Wnd6Cat," ","_"))</formula1>
    </dataValidation>
    <dataValidation type="list" allowBlank="1" showInputMessage="1" showErrorMessage="1" sqref="D199:H199" xr:uid="{00000000-0002-0000-0100-000015000000}">
      <formula1>INDIRECT(SUBSTITUTE(Wnd7Cat," ","_"))</formula1>
    </dataValidation>
    <dataValidation type="list" allowBlank="1" showInputMessage="1" showErrorMessage="1" sqref="K199:O199" xr:uid="{00000000-0002-0000-0100-000016000000}">
      <formula1>INDIRECT(SUBSTITUTE(Wnd8Cat," ","_"))</formula1>
    </dataValidation>
    <dataValidation type="list" allowBlank="1" showInputMessage="1" showErrorMessage="1" sqref="R199:V199" xr:uid="{00000000-0002-0000-0100-000017000000}">
      <formula1>INDIRECT(SUBSTITUTE(Wnd9Cat," ","_"))</formula1>
    </dataValidation>
    <dataValidation type="list" allowBlank="1" showInputMessage="1" showErrorMessage="1" sqref="D156:H156" xr:uid="{00000000-0002-0000-0100-000018000000}">
      <formula1>INDIRECT(SUBSTITUTE(SUBSTITUTE(SUBSTITUTE(SUBSTITUTE(wd_4type,"-",""),"(",""),")","")," ","_"))</formula1>
    </dataValidation>
    <dataValidation type="list" allowBlank="1" showInputMessage="1" showErrorMessage="1" sqref="K156:O156" xr:uid="{00000000-0002-0000-0100-000019000000}">
      <formula1>INDIRECT(SUBSTITUTE(SUBSTITUTE(SUBSTITUTE(SUBSTITUTE(wd_5type,"-",""),"(",""),")","")," ","_"))</formula1>
    </dataValidation>
    <dataValidation type="list" allowBlank="1" showInputMessage="1" showErrorMessage="1" sqref="R156:V156" xr:uid="{00000000-0002-0000-0100-00001A000000}">
      <formula1>INDIRECT(SUBSTITUTE(SUBSTITUTE(SUBSTITUTE(SUBSTITUTE(wd_6type,"-",""),"(",""),")","")," ","_"))</formula1>
    </dataValidation>
    <dataValidation type="list" allowBlank="1" showInputMessage="1" showErrorMessage="1" sqref="D201:H201" xr:uid="{00000000-0002-0000-0100-00001B000000}">
      <formula1>INDIRECT(SUBSTITUTE(SUBSTITUTE(SUBSTITUTE(SUBSTITUTE(wd_7type,"-",""),"(",""),")","")," ","_"))</formula1>
    </dataValidation>
    <dataValidation type="list" allowBlank="1" showInputMessage="1" showErrorMessage="1" sqref="K201:O201" xr:uid="{00000000-0002-0000-0100-00001C000000}">
      <formula1>INDIRECT(SUBSTITUTE(SUBSTITUTE(SUBSTITUTE(SUBSTITUTE(wd_8type,"-",""),"(",""),")","")," ","_"))</formula1>
    </dataValidation>
    <dataValidation type="list" allowBlank="1" showInputMessage="1" showErrorMessage="1" sqref="R201:V201" xr:uid="{00000000-0002-0000-0100-00001D000000}">
      <formula1>INDIRECT(SUBSTITUTE(SUBSTITUTE(SUBSTITUTE(SUBSTITUTE(wd_9type,"-",""),"(",""),")","")," ","_"))</formula1>
    </dataValidation>
    <dataValidation type="list" allowBlank="1" showInputMessage="1" showErrorMessage="1" errorTitle="Title" error="Please select from the list" sqref="N4:O4 N7:N9 O7:O8" xr:uid="{00000000-0002-0000-0100-00001E000000}">
      <formula1>"Mr, Mrs, Ms, Dr, Adv"</formula1>
    </dataValidation>
    <dataValidation type="textLength" allowBlank="1" showInputMessage="1" showErrorMessage="1" errorTitle="Wrong number of characters" error="The Practice Number must be 7 digits long." sqref="N31:Q31" xr:uid="{00000000-0002-0000-0100-00001F000000}">
      <formula1>7</formula1>
      <formula2>7</formula2>
    </dataValidation>
    <dataValidation allowBlank="1" showInputMessage="1" showErrorMessage="1" errorTitle="Title" error="Please select from the list" sqref="O9" xr:uid="{00000000-0002-0000-0100-000020000000}"/>
    <dataValidation type="textLength" operator="equal" allowBlank="1" showInputMessage="1" errorTitle="Cell Number" error="The number you entered does not have the right number of digits" sqref="D3:F3" xr:uid="{00000000-0002-0000-0100-000021000000}">
      <formula1>10</formula1>
    </dataValidation>
    <dataValidation type="list" allowBlank="1" showInputMessage="1" showErrorMessage="1" sqref="D7" xr:uid="{00000000-0002-0000-0100-000022000000}">
      <formula1>DD_Year</formula1>
    </dataValidation>
    <dataValidation type="list" allowBlank="1" showInputMessage="1" showErrorMessage="1" sqref="F7" xr:uid="{00000000-0002-0000-0100-000023000000}">
      <formula1>DD_Month</formula1>
    </dataValidation>
    <dataValidation type="list" allowBlank="1" showInputMessage="1" showErrorMessage="1" sqref="H7" xr:uid="{00000000-0002-0000-0100-000024000000}">
      <formula1>DD_Day</formula1>
    </dataValidation>
    <dataValidation type="date" allowBlank="1" showInputMessage="1" showErrorMessage="1" errorTitle="Date Format Error" error="Please use the Date Picker to set the date. _x000a_Format MUST be yyyy-mm-dd  like 2016-04-25_x000a_" sqref="D25:F25 D27:F27 J84:L84 D99:F99 K99:M99 R99:T99 D129:F129 K129:M129 R129:T129 D144:F144 K144:M144 R144:T144 R219:T219 K174:M174 R174:T174 D189:F189 K189:M189 R189:T189 D219:F219 K219:M219 D174:F174" xr:uid="{00000000-0002-0000-0100-000025000000}">
      <formula1>36526</formula1>
      <formula2>47848</formula2>
    </dataValidation>
  </dataValidations>
  <pageMargins left="0.27559055118110237" right="0.15748031496062992" top="0.27559055118110237" bottom="0.15748031496062992" header="0.15748031496062992" footer="0.15748031496062992"/>
  <pageSetup paperSize="9" scale="64" fitToHeight="0" orientation="portrait" r:id="rId1"/>
  <rowBreaks count="2" manualBreakCount="2">
    <brk id="54" max="22" man="1"/>
    <brk id="94" max="22" man="1"/>
  </rowBreaks>
  <drawing r:id="rId2"/>
  <legacyDrawing r:id="rId3"/>
  <controls>
    <mc:AlternateContent xmlns:mc="http://schemas.openxmlformats.org/markup-compatibility/2006">
      <mc:Choice Requires="x14">
        <control shapeId="6309" r:id="rId4" name="CheckBox4">
          <controlPr locked="0" defaultSize="0" autoLine="0" linkedCell="Sheet1!E142" r:id="rId5">
            <anchor moveWithCells="1">
              <from>
                <xdr:col>3</xdr:col>
                <xdr:colOff>47625</xdr:colOff>
                <xdr:row>83</xdr:row>
                <xdr:rowOff>9525</xdr:rowOff>
              </from>
              <to>
                <xdr:col>3</xdr:col>
                <xdr:colOff>200025</xdr:colOff>
                <xdr:row>84</xdr:row>
                <xdr:rowOff>0</xdr:rowOff>
              </to>
            </anchor>
          </controlPr>
        </control>
      </mc:Choice>
      <mc:Fallback>
        <control shapeId="6309" r:id="rId4" name="CheckBox4"/>
      </mc:Fallback>
    </mc:AlternateContent>
    <mc:AlternateContent xmlns:mc="http://schemas.openxmlformats.org/markup-compatibility/2006">
      <mc:Choice Requires="x14">
        <control shapeId="6308" r:id="rId6" name="CheckBox3">
          <controlPr locked="0" defaultSize="0" autoLine="0" linkedCell="Sheet1!E141" r:id="rId7">
            <anchor moveWithCells="1">
              <from>
                <xdr:col>3</xdr:col>
                <xdr:colOff>47625</xdr:colOff>
                <xdr:row>81</xdr:row>
                <xdr:rowOff>9525</xdr:rowOff>
              </from>
              <to>
                <xdr:col>3</xdr:col>
                <xdr:colOff>200025</xdr:colOff>
                <xdr:row>82</xdr:row>
                <xdr:rowOff>0</xdr:rowOff>
              </to>
            </anchor>
          </controlPr>
        </control>
      </mc:Choice>
      <mc:Fallback>
        <control shapeId="6308" r:id="rId6" name="CheckBox3"/>
      </mc:Fallback>
    </mc:AlternateContent>
    <mc:AlternateContent xmlns:mc="http://schemas.openxmlformats.org/markup-compatibility/2006">
      <mc:Choice Requires="x14">
        <control shapeId="6306" r:id="rId8" name="CheckBox16">
          <controlPr locked="0" defaultSize="0" autoLine="0" linkedCell="Sheet1!E140" r:id="rId9">
            <anchor moveWithCells="1">
              <from>
                <xdr:col>3</xdr:col>
                <xdr:colOff>47625</xdr:colOff>
                <xdr:row>78</xdr:row>
                <xdr:rowOff>9525</xdr:rowOff>
              </from>
              <to>
                <xdr:col>3</xdr:col>
                <xdr:colOff>200025</xdr:colOff>
                <xdr:row>78</xdr:row>
                <xdr:rowOff>209550</xdr:rowOff>
              </to>
            </anchor>
          </controlPr>
        </control>
      </mc:Choice>
      <mc:Fallback>
        <control shapeId="6306" r:id="rId8" name="CheckBox16"/>
      </mc:Fallback>
    </mc:AlternateContent>
    <mc:AlternateContent xmlns:mc="http://schemas.openxmlformats.org/markup-compatibility/2006">
      <mc:Choice Requires="x14">
        <control shapeId="6303" r:id="rId10" name="CheckBox15">
          <controlPr locked="0" defaultSize="0" autoLine="0" linkedCell="Sheet1!E138" r:id="rId11">
            <anchor moveWithCells="1">
              <from>
                <xdr:col>3</xdr:col>
                <xdr:colOff>47625</xdr:colOff>
                <xdr:row>76</xdr:row>
                <xdr:rowOff>19050</xdr:rowOff>
              </from>
              <to>
                <xdr:col>3</xdr:col>
                <xdr:colOff>200025</xdr:colOff>
                <xdr:row>76</xdr:row>
                <xdr:rowOff>228600</xdr:rowOff>
              </to>
            </anchor>
          </controlPr>
        </control>
      </mc:Choice>
      <mc:Fallback>
        <control shapeId="6303" r:id="rId10" name="CheckBox15"/>
      </mc:Fallback>
    </mc:AlternateContent>
    <mc:AlternateContent xmlns:mc="http://schemas.openxmlformats.org/markup-compatibility/2006">
      <mc:Choice Requires="x14">
        <control shapeId="6302" r:id="rId12" name="CheckBox14">
          <controlPr locked="0" defaultSize="0" autoLine="0" linkedCell="Sheet1!E139" r:id="rId13">
            <anchor moveWithCells="1">
              <from>
                <xdr:col>3</xdr:col>
                <xdr:colOff>47625</xdr:colOff>
                <xdr:row>77</xdr:row>
                <xdr:rowOff>9525</xdr:rowOff>
              </from>
              <to>
                <xdr:col>3</xdr:col>
                <xdr:colOff>200025</xdr:colOff>
                <xdr:row>77</xdr:row>
                <xdr:rowOff>209550</xdr:rowOff>
              </to>
            </anchor>
          </controlPr>
        </control>
      </mc:Choice>
      <mc:Fallback>
        <control shapeId="6302" r:id="rId12" name="CheckBox14"/>
      </mc:Fallback>
    </mc:AlternateContent>
    <mc:AlternateContent xmlns:mc="http://schemas.openxmlformats.org/markup-compatibility/2006">
      <mc:Choice Requires="x14">
        <control shapeId="6301" r:id="rId14" name="CheckBox13">
          <controlPr locked="0" defaultSize="0" autoLine="0" linkedCell="Sheet1!E136" r:id="rId15">
            <anchor moveWithCells="1">
              <from>
                <xdr:col>3</xdr:col>
                <xdr:colOff>47625</xdr:colOff>
                <xdr:row>74</xdr:row>
                <xdr:rowOff>19050</xdr:rowOff>
              </from>
              <to>
                <xdr:col>3</xdr:col>
                <xdr:colOff>200025</xdr:colOff>
                <xdr:row>74</xdr:row>
                <xdr:rowOff>228600</xdr:rowOff>
              </to>
            </anchor>
          </controlPr>
        </control>
      </mc:Choice>
      <mc:Fallback>
        <control shapeId="6301" r:id="rId14" name="CheckBox13"/>
      </mc:Fallback>
    </mc:AlternateContent>
    <mc:AlternateContent xmlns:mc="http://schemas.openxmlformats.org/markup-compatibility/2006">
      <mc:Choice Requires="x14">
        <control shapeId="6300" r:id="rId16" name="CheckBox12">
          <controlPr locked="0" defaultSize="0" autoLine="0" linkedCell="Sheet1!E134" r:id="rId17">
            <anchor moveWithCells="1">
              <from>
                <xdr:col>3</xdr:col>
                <xdr:colOff>47625</xdr:colOff>
                <xdr:row>72</xdr:row>
                <xdr:rowOff>28575</xdr:rowOff>
              </from>
              <to>
                <xdr:col>3</xdr:col>
                <xdr:colOff>200025</xdr:colOff>
                <xdr:row>73</xdr:row>
                <xdr:rowOff>0</xdr:rowOff>
              </to>
            </anchor>
          </controlPr>
        </control>
      </mc:Choice>
      <mc:Fallback>
        <control shapeId="6300" r:id="rId16" name="CheckBox12"/>
      </mc:Fallback>
    </mc:AlternateContent>
    <mc:AlternateContent xmlns:mc="http://schemas.openxmlformats.org/markup-compatibility/2006">
      <mc:Choice Requires="x14">
        <control shapeId="6299" r:id="rId18" name="CheckBox10">
          <controlPr locked="0" defaultSize="0" autoLine="0" linkedCell="Sheet1!E135" r:id="rId19">
            <anchor moveWithCells="1">
              <from>
                <xdr:col>3</xdr:col>
                <xdr:colOff>47625</xdr:colOff>
                <xdr:row>73</xdr:row>
                <xdr:rowOff>28575</xdr:rowOff>
              </from>
              <to>
                <xdr:col>3</xdr:col>
                <xdr:colOff>200025</xdr:colOff>
                <xdr:row>73</xdr:row>
                <xdr:rowOff>228600</xdr:rowOff>
              </to>
            </anchor>
          </controlPr>
        </control>
      </mc:Choice>
      <mc:Fallback>
        <control shapeId="6299" r:id="rId18" name="CheckBox10"/>
      </mc:Fallback>
    </mc:AlternateContent>
    <mc:AlternateContent xmlns:mc="http://schemas.openxmlformats.org/markup-compatibility/2006">
      <mc:Choice Requires="x14">
        <control shapeId="6298" r:id="rId20" name="CheckBox7">
          <controlPr locked="0" defaultSize="0" autoLine="0" linkedCell="Sheet1!E137" r:id="rId21">
            <anchor moveWithCells="1">
              <from>
                <xdr:col>3</xdr:col>
                <xdr:colOff>47625</xdr:colOff>
                <xdr:row>75</xdr:row>
                <xdr:rowOff>9525</xdr:rowOff>
              </from>
              <to>
                <xdr:col>3</xdr:col>
                <xdr:colOff>200025</xdr:colOff>
                <xdr:row>75</xdr:row>
                <xdr:rowOff>209550</xdr:rowOff>
              </to>
            </anchor>
          </controlPr>
        </control>
      </mc:Choice>
      <mc:Fallback>
        <control shapeId="6298" r:id="rId20" name="CheckBox7"/>
      </mc:Fallback>
    </mc:AlternateContent>
    <mc:AlternateContent xmlns:mc="http://schemas.openxmlformats.org/markup-compatibility/2006">
      <mc:Choice Requires="x14">
        <control shapeId="6296" r:id="rId22" name="CheckBox9">
          <controlPr locked="0" defaultSize="0" autoLine="0" linkedCell="Sheet1!E132" r:id="rId23">
            <anchor moveWithCells="1">
              <from>
                <xdr:col>3</xdr:col>
                <xdr:colOff>47625</xdr:colOff>
                <xdr:row>68</xdr:row>
                <xdr:rowOff>19050</xdr:rowOff>
              </from>
              <to>
                <xdr:col>3</xdr:col>
                <xdr:colOff>200025</xdr:colOff>
                <xdr:row>68</xdr:row>
                <xdr:rowOff>228600</xdr:rowOff>
              </to>
            </anchor>
          </controlPr>
        </control>
      </mc:Choice>
      <mc:Fallback>
        <control shapeId="6296" r:id="rId22" name="CheckBox9"/>
      </mc:Fallback>
    </mc:AlternateContent>
    <mc:AlternateContent xmlns:mc="http://schemas.openxmlformats.org/markup-compatibility/2006">
      <mc:Choice Requires="x14">
        <control shapeId="6295" r:id="rId24" name="CheckBox8">
          <controlPr locked="0" defaultSize="0" autoLine="0" linkedCell="Sheet1!E130" r:id="rId25">
            <anchor moveWithCells="1">
              <from>
                <xdr:col>3</xdr:col>
                <xdr:colOff>47625</xdr:colOff>
                <xdr:row>66</xdr:row>
                <xdr:rowOff>28575</xdr:rowOff>
              </from>
              <to>
                <xdr:col>3</xdr:col>
                <xdr:colOff>200025</xdr:colOff>
                <xdr:row>67</xdr:row>
                <xdr:rowOff>0</xdr:rowOff>
              </to>
            </anchor>
          </controlPr>
        </control>
      </mc:Choice>
      <mc:Fallback>
        <control shapeId="6295" r:id="rId24" name="CheckBox8"/>
      </mc:Fallback>
    </mc:AlternateContent>
    <mc:AlternateContent xmlns:mc="http://schemas.openxmlformats.org/markup-compatibility/2006">
      <mc:Choice Requires="x14">
        <control shapeId="6289" r:id="rId26" name="CheckBox1">
          <controlPr locked="0" defaultSize="0" autoLine="0" linkedCell="Sheet1!E131" r:id="rId27">
            <anchor moveWithCells="1">
              <from>
                <xdr:col>3</xdr:col>
                <xdr:colOff>47625</xdr:colOff>
                <xdr:row>67</xdr:row>
                <xdr:rowOff>28575</xdr:rowOff>
              </from>
              <to>
                <xdr:col>3</xdr:col>
                <xdr:colOff>200025</xdr:colOff>
                <xdr:row>67</xdr:row>
                <xdr:rowOff>228600</xdr:rowOff>
              </to>
            </anchor>
          </controlPr>
        </control>
      </mc:Choice>
      <mc:Fallback>
        <control shapeId="6289" r:id="rId26" name="CheckBox1"/>
      </mc:Fallback>
    </mc:AlternateContent>
    <mc:AlternateContent xmlns:mc="http://schemas.openxmlformats.org/markup-compatibility/2006">
      <mc:Choice Requires="x14">
        <control shapeId="6278" r:id="rId28" name="CheckBox30">
          <controlPr locked="0" defaultSize="0" autoLine="0" linkedCell="Sheet1!E57" r:id="rId29">
            <anchor moveWithCells="1">
              <from>
                <xdr:col>12</xdr:col>
                <xdr:colOff>209550</xdr:colOff>
                <xdr:row>132</xdr:row>
                <xdr:rowOff>57150</xdr:rowOff>
              </from>
              <to>
                <xdr:col>12</xdr:col>
                <xdr:colOff>361950</xdr:colOff>
                <xdr:row>133</xdr:row>
                <xdr:rowOff>47625</xdr:rowOff>
              </to>
            </anchor>
          </controlPr>
        </control>
      </mc:Choice>
      <mc:Fallback>
        <control shapeId="6278" r:id="rId28" name="CheckBox30"/>
      </mc:Fallback>
    </mc:AlternateContent>
    <mc:AlternateContent xmlns:mc="http://schemas.openxmlformats.org/markup-compatibility/2006">
      <mc:Choice Requires="x14">
        <control shapeId="6176" r:id="rId30" name="chk_1ApSlough">
          <controlPr locked="0" defaultSize="0" autoLine="0" linkedCell="Sheet1!E34" r:id="rId31">
            <anchor moveWithCells="1">
              <from>
                <xdr:col>3</xdr:col>
                <xdr:colOff>28575</xdr:colOff>
                <xdr:row>130</xdr:row>
                <xdr:rowOff>0</xdr:rowOff>
              </from>
              <to>
                <xdr:col>3</xdr:col>
                <xdr:colOff>180975</xdr:colOff>
                <xdr:row>131</xdr:row>
                <xdr:rowOff>0</xdr:rowOff>
              </to>
            </anchor>
          </controlPr>
        </control>
      </mc:Choice>
      <mc:Fallback>
        <control shapeId="6176" r:id="rId30" name="chk_1ApSlough"/>
      </mc:Fallback>
    </mc:AlternateContent>
    <mc:AlternateContent xmlns:mc="http://schemas.openxmlformats.org/markup-compatibility/2006">
      <mc:Choice Requires="x14">
        <control shapeId="6177" r:id="rId32" name="chk_1ApInfect">
          <controlPr locked="0" defaultSize="0" autoLine="0" linkedCell="Sheet1!E35" r:id="rId33">
            <anchor moveWithCells="1">
              <from>
                <xdr:col>3</xdr:col>
                <xdr:colOff>28575</xdr:colOff>
                <xdr:row>131</xdr:row>
                <xdr:rowOff>9525</xdr:rowOff>
              </from>
              <to>
                <xdr:col>3</xdr:col>
                <xdr:colOff>180975</xdr:colOff>
                <xdr:row>132</xdr:row>
                <xdr:rowOff>9525</xdr:rowOff>
              </to>
            </anchor>
          </controlPr>
        </control>
      </mc:Choice>
      <mc:Fallback>
        <control shapeId="6177" r:id="rId32" name="chk_1ApInfect"/>
      </mc:Fallback>
    </mc:AlternateContent>
    <mc:AlternateContent xmlns:mc="http://schemas.openxmlformats.org/markup-compatibility/2006">
      <mc:Choice Requires="x14">
        <control shapeId="6178" r:id="rId34" name="chk_1ApGran">
          <controlPr locked="0" defaultSize="0" autoLine="0" linkedCell="Sheet1!E36" r:id="rId35">
            <anchor moveWithCells="1">
              <from>
                <xdr:col>5</xdr:col>
                <xdr:colOff>209550</xdr:colOff>
                <xdr:row>132</xdr:row>
                <xdr:rowOff>47625</xdr:rowOff>
              </from>
              <to>
                <xdr:col>5</xdr:col>
                <xdr:colOff>361950</xdr:colOff>
                <xdr:row>133</xdr:row>
                <xdr:rowOff>38100</xdr:rowOff>
              </to>
            </anchor>
          </controlPr>
        </control>
      </mc:Choice>
      <mc:Fallback>
        <control shapeId="6178" r:id="rId34" name="chk_1ApGran"/>
      </mc:Fallback>
    </mc:AlternateContent>
    <mc:AlternateContent xmlns:mc="http://schemas.openxmlformats.org/markup-compatibility/2006">
      <mc:Choice Requires="x14">
        <control shapeId="6179" r:id="rId36" name="chk_1ApEpith">
          <controlPr locked="0" defaultSize="0" autoLine="0" linkedCell="Sheet1!E37" r:id="rId37">
            <anchor moveWithCells="1">
              <from>
                <xdr:col>5</xdr:col>
                <xdr:colOff>209550</xdr:colOff>
                <xdr:row>131</xdr:row>
                <xdr:rowOff>38100</xdr:rowOff>
              </from>
              <to>
                <xdr:col>5</xdr:col>
                <xdr:colOff>361950</xdr:colOff>
                <xdr:row>132</xdr:row>
                <xdr:rowOff>38100</xdr:rowOff>
              </to>
            </anchor>
          </controlPr>
        </control>
      </mc:Choice>
      <mc:Fallback>
        <control shapeId="6179" r:id="rId36" name="chk_1ApEpith"/>
      </mc:Fallback>
    </mc:AlternateContent>
    <mc:AlternateContent xmlns:mc="http://schemas.openxmlformats.org/markup-compatibility/2006">
      <mc:Choice Requires="x14">
        <control shapeId="6181" r:id="rId38" name="chk_2ApSlough">
          <controlPr locked="0" defaultSize="0" autoLine="0" linkedCell="Sheet1!E55" r:id="rId39">
            <anchor moveWithCells="1">
              <from>
                <xdr:col>10</xdr:col>
                <xdr:colOff>28575</xdr:colOff>
                <xdr:row>130</xdr:row>
                <xdr:rowOff>0</xdr:rowOff>
              </from>
              <to>
                <xdr:col>10</xdr:col>
                <xdr:colOff>180975</xdr:colOff>
                <xdr:row>131</xdr:row>
                <xdr:rowOff>0</xdr:rowOff>
              </to>
            </anchor>
          </controlPr>
        </control>
      </mc:Choice>
      <mc:Fallback>
        <control shapeId="6181" r:id="rId38" name="chk_2ApSlough"/>
      </mc:Fallback>
    </mc:AlternateContent>
    <mc:AlternateContent xmlns:mc="http://schemas.openxmlformats.org/markup-compatibility/2006">
      <mc:Choice Requires="x14">
        <control shapeId="6182" r:id="rId40" name="chk_2ApInfect">
          <controlPr locked="0" defaultSize="0" autoLine="0" linkedCell="Sheet1!E56" r:id="rId41">
            <anchor moveWithCells="1">
              <from>
                <xdr:col>10</xdr:col>
                <xdr:colOff>28575</xdr:colOff>
                <xdr:row>131</xdr:row>
                <xdr:rowOff>19050</xdr:rowOff>
              </from>
              <to>
                <xdr:col>10</xdr:col>
                <xdr:colOff>180975</xdr:colOff>
                <xdr:row>132</xdr:row>
                <xdr:rowOff>19050</xdr:rowOff>
              </to>
            </anchor>
          </controlPr>
        </control>
      </mc:Choice>
      <mc:Fallback>
        <control shapeId="6182" r:id="rId40" name="chk_2ApInfect"/>
      </mc:Fallback>
    </mc:AlternateContent>
    <mc:AlternateContent xmlns:mc="http://schemas.openxmlformats.org/markup-compatibility/2006">
      <mc:Choice Requires="x14">
        <control shapeId="6184" r:id="rId42" name="chk_2ApEpith">
          <controlPr locked="0" defaultSize="0" autoLine="0" linkedCell="Sheet1!E58" r:id="rId43">
            <anchor moveWithCells="1">
              <from>
                <xdr:col>12</xdr:col>
                <xdr:colOff>209550</xdr:colOff>
                <xdr:row>131</xdr:row>
                <xdr:rowOff>38100</xdr:rowOff>
              </from>
              <to>
                <xdr:col>12</xdr:col>
                <xdr:colOff>361950</xdr:colOff>
                <xdr:row>132</xdr:row>
                <xdr:rowOff>38100</xdr:rowOff>
              </to>
            </anchor>
          </controlPr>
        </control>
      </mc:Choice>
      <mc:Fallback>
        <control shapeId="6184" r:id="rId42" name="chk_2ApEpith"/>
      </mc:Fallback>
    </mc:AlternateContent>
    <mc:AlternateContent xmlns:mc="http://schemas.openxmlformats.org/markup-compatibility/2006">
      <mc:Choice Requires="x14">
        <control shapeId="6186" r:id="rId44" name="chk_3ApSlough">
          <controlPr locked="0" defaultSize="0" autoLine="0" linkedCell="Sheet1!E76" r:id="rId45">
            <anchor moveWithCells="1">
              <from>
                <xdr:col>17</xdr:col>
                <xdr:colOff>28575</xdr:colOff>
                <xdr:row>130</xdr:row>
                <xdr:rowOff>0</xdr:rowOff>
              </from>
              <to>
                <xdr:col>17</xdr:col>
                <xdr:colOff>180975</xdr:colOff>
                <xdr:row>131</xdr:row>
                <xdr:rowOff>0</xdr:rowOff>
              </to>
            </anchor>
          </controlPr>
        </control>
      </mc:Choice>
      <mc:Fallback>
        <control shapeId="6186" r:id="rId44" name="chk_3ApSlough"/>
      </mc:Fallback>
    </mc:AlternateContent>
    <mc:AlternateContent xmlns:mc="http://schemas.openxmlformats.org/markup-compatibility/2006">
      <mc:Choice Requires="x14">
        <control shapeId="6187" r:id="rId46" name="chk_3ApInfect">
          <controlPr locked="0" defaultSize="0" autoLine="0" linkedCell="Sheet1!E77" r:id="rId47">
            <anchor moveWithCells="1">
              <from>
                <xdr:col>17</xdr:col>
                <xdr:colOff>28575</xdr:colOff>
                <xdr:row>131</xdr:row>
                <xdr:rowOff>0</xdr:rowOff>
              </from>
              <to>
                <xdr:col>17</xdr:col>
                <xdr:colOff>180975</xdr:colOff>
                <xdr:row>132</xdr:row>
                <xdr:rowOff>0</xdr:rowOff>
              </to>
            </anchor>
          </controlPr>
        </control>
      </mc:Choice>
      <mc:Fallback>
        <control shapeId="6187" r:id="rId46" name="chk_3ApInfect"/>
      </mc:Fallback>
    </mc:AlternateContent>
    <mc:AlternateContent xmlns:mc="http://schemas.openxmlformats.org/markup-compatibility/2006">
      <mc:Choice Requires="x14">
        <control shapeId="6188" r:id="rId48" name="chk_3ApGran">
          <controlPr locked="0" defaultSize="0" autoLine="0" linkedCell="Sheet1!E78" r:id="rId49">
            <anchor moveWithCells="1">
              <from>
                <xdr:col>19</xdr:col>
                <xdr:colOff>171450</xdr:colOff>
                <xdr:row>132</xdr:row>
                <xdr:rowOff>38100</xdr:rowOff>
              </from>
              <to>
                <xdr:col>19</xdr:col>
                <xdr:colOff>323850</xdr:colOff>
                <xdr:row>133</xdr:row>
                <xdr:rowOff>28575</xdr:rowOff>
              </to>
            </anchor>
          </controlPr>
        </control>
      </mc:Choice>
      <mc:Fallback>
        <control shapeId="6188" r:id="rId48" name="chk_3ApGran"/>
      </mc:Fallback>
    </mc:AlternateContent>
    <mc:AlternateContent xmlns:mc="http://schemas.openxmlformats.org/markup-compatibility/2006">
      <mc:Choice Requires="x14">
        <control shapeId="6189" r:id="rId50" name="chk_3ApEpith">
          <controlPr defaultSize="0" autoLine="0" linkedCell="Sheet1!E79" r:id="rId51">
            <anchor moveWithCells="1">
              <from>
                <xdr:col>19</xdr:col>
                <xdr:colOff>171450</xdr:colOff>
                <xdr:row>131</xdr:row>
                <xdr:rowOff>19050</xdr:rowOff>
              </from>
              <to>
                <xdr:col>19</xdr:col>
                <xdr:colOff>323850</xdr:colOff>
                <xdr:row>132</xdr:row>
                <xdr:rowOff>19050</xdr:rowOff>
              </to>
            </anchor>
          </controlPr>
        </control>
      </mc:Choice>
      <mc:Fallback>
        <control shapeId="6189" r:id="rId50" name="chk_3ApEpith"/>
      </mc:Fallback>
    </mc:AlternateContent>
    <mc:AlternateContent xmlns:mc="http://schemas.openxmlformats.org/markup-compatibility/2006">
      <mc:Choice Requires="x14">
        <control shapeId="6191" r:id="rId52" name="chk_1ColRed">
          <controlPr locked="0" defaultSize="0" autoLine="0" linkedCell="Sheet1!E38" r:id="rId53">
            <anchor moveWithCells="1">
              <from>
                <xdr:col>3</xdr:col>
                <xdr:colOff>28575</xdr:colOff>
                <xdr:row>134</xdr:row>
                <xdr:rowOff>9525</xdr:rowOff>
              </from>
              <to>
                <xdr:col>3</xdr:col>
                <xdr:colOff>180975</xdr:colOff>
                <xdr:row>135</xdr:row>
                <xdr:rowOff>9525</xdr:rowOff>
              </to>
            </anchor>
          </controlPr>
        </control>
      </mc:Choice>
      <mc:Fallback>
        <control shapeId="6191" r:id="rId52" name="chk_1ColRed"/>
      </mc:Fallback>
    </mc:AlternateContent>
    <mc:AlternateContent xmlns:mc="http://schemas.openxmlformats.org/markup-compatibility/2006">
      <mc:Choice Requires="x14">
        <control shapeId="6192" r:id="rId54" name="chk_1ColYel">
          <controlPr locked="0" defaultSize="0" autoLine="0" linkedCell="Sheet1!E39" r:id="rId55">
            <anchor moveWithCells="1">
              <from>
                <xdr:col>3</xdr:col>
                <xdr:colOff>28575</xdr:colOff>
                <xdr:row>135</xdr:row>
                <xdr:rowOff>19050</xdr:rowOff>
              </from>
              <to>
                <xdr:col>3</xdr:col>
                <xdr:colOff>180975</xdr:colOff>
                <xdr:row>136</xdr:row>
                <xdr:rowOff>19050</xdr:rowOff>
              </to>
            </anchor>
          </controlPr>
        </control>
      </mc:Choice>
      <mc:Fallback>
        <control shapeId="6192" r:id="rId54" name="chk_1ColYel"/>
      </mc:Fallback>
    </mc:AlternateContent>
    <mc:AlternateContent xmlns:mc="http://schemas.openxmlformats.org/markup-compatibility/2006">
      <mc:Choice Requires="x14">
        <control shapeId="6194" r:id="rId56" name="chk_2ColRed">
          <controlPr locked="0" defaultSize="0" autoLine="0" linkedCell="Sheet1!E59" r:id="rId57">
            <anchor moveWithCells="1">
              <from>
                <xdr:col>10</xdr:col>
                <xdr:colOff>28575</xdr:colOff>
                <xdr:row>134</xdr:row>
                <xdr:rowOff>9525</xdr:rowOff>
              </from>
              <to>
                <xdr:col>10</xdr:col>
                <xdr:colOff>180975</xdr:colOff>
                <xdr:row>135</xdr:row>
                <xdr:rowOff>9525</xdr:rowOff>
              </to>
            </anchor>
          </controlPr>
        </control>
      </mc:Choice>
      <mc:Fallback>
        <control shapeId="6194" r:id="rId56" name="chk_2ColRed"/>
      </mc:Fallback>
    </mc:AlternateContent>
    <mc:AlternateContent xmlns:mc="http://schemas.openxmlformats.org/markup-compatibility/2006">
      <mc:Choice Requires="x14">
        <control shapeId="6195" r:id="rId58" name="chk_2ColYel">
          <controlPr locked="0" defaultSize="0" autoLine="0" linkedCell="Sheet1!E60" r:id="rId59">
            <anchor moveWithCells="1">
              <from>
                <xdr:col>10</xdr:col>
                <xdr:colOff>28575</xdr:colOff>
                <xdr:row>135</xdr:row>
                <xdr:rowOff>19050</xdr:rowOff>
              </from>
              <to>
                <xdr:col>10</xdr:col>
                <xdr:colOff>180975</xdr:colOff>
                <xdr:row>136</xdr:row>
                <xdr:rowOff>19050</xdr:rowOff>
              </to>
            </anchor>
          </controlPr>
        </control>
      </mc:Choice>
      <mc:Fallback>
        <control shapeId="6195" r:id="rId58" name="chk_2ColYel"/>
      </mc:Fallback>
    </mc:AlternateContent>
    <mc:AlternateContent xmlns:mc="http://schemas.openxmlformats.org/markup-compatibility/2006">
      <mc:Choice Requires="x14">
        <control shapeId="6197" r:id="rId60" name="chk_3ColRed">
          <controlPr locked="0" defaultSize="0" autoLine="0" linkedCell="Sheet1!E80" r:id="rId61">
            <anchor moveWithCells="1">
              <from>
                <xdr:col>17</xdr:col>
                <xdr:colOff>28575</xdr:colOff>
                <xdr:row>134</xdr:row>
                <xdr:rowOff>9525</xdr:rowOff>
              </from>
              <to>
                <xdr:col>17</xdr:col>
                <xdr:colOff>180975</xdr:colOff>
                <xdr:row>135</xdr:row>
                <xdr:rowOff>9525</xdr:rowOff>
              </to>
            </anchor>
          </controlPr>
        </control>
      </mc:Choice>
      <mc:Fallback>
        <control shapeId="6197" r:id="rId60" name="chk_3ColRed"/>
      </mc:Fallback>
    </mc:AlternateContent>
    <mc:AlternateContent xmlns:mc="http://schemas.openxmlformats.org/markup-compatibility/2006">
      <mc:Choice Requires="x14">
        <control shapeId="6198" r:id="rId62" name="chk_3ColYel">
          <controlPr locked="0" defaultSize="0" autoLine="0" linkedCell="Sheet1!E81" r:id="rId63">
            <anchor moveWithCells="1">
              <from>
                <xdr:col>17</xdr:col>
                <xdr:colOff>28575</xdr:colOff>
                <xdr:row>135</xdr:row>
                <xdr:rowOff>19050</xdr:rowOff>
              </from>
              <to>
                <xdr:col>17</xdr:col>
                <xdr:colOff>180975</xdr:colOff>
                <xdr:row>136</xdr:row>
                <xdr:rowOff>19050</xdr:rowOff>
              </to>
            </anchor>
          </controlPr>
        </control>
      </mc:Choice>
      <mc:Fallback>
        <control shapeId="6198" r:id="rId62" name="chk_3ColYel"/>
      </mc:Fallback>
    </mc:AlternateContent>
    <mc:AlternateContent xmlns:mc="http://schemas.openxmlformats.org/markup-compatibility/2006">
      <mc:Choice Requires="x14">
        <control shapeId="6240" r:id="rId64" name="CheckBox11">
          <controlPr locked="0" defaultSize="0" autoLine="0" linkedCell="Sheet1!E25" r:id="rId65">
            <anchor moveWithCells="1">
              <from>
                <xdr:col>5</xdr:col>
                <xdr:colOff>209550</xdr:colOff>
                <xdr:row>130</xdr:row>
                <xdr:rowOff>0</xdr:rowOff>
              </from>
              <to>
                <xdr:col>5</xdr:col>
                <xdr:colOff>361950</xdr:colOff>
                <xdr:row>131</xdr:row>
                <xdr:rowOff>0</xdr:rowOff>
              </to>
            </anchor>
          </controlPr>
        </control>
      </mc:Choice>
      <mc:Fallback>
        <control shapeId="6240" r:id="rId64" name="CheckBox11"/>
      </mc:Fallback>
    </mc:AlternateContent>
    <mc:AlternateContent xmlns:mc="http://schemas.openxmlformats.org/markup-compatibility/2006">
      <mc:Choice Requires="x14">
        <control shapeId="6250" r:id="rId66" name="CheckBox17">
          <controlPr locked="0" defaultSize="0" autoLine="0" linkedCell="Sheet1!E46" r:id="rId67">
            <anchor moveWithCells="1">
              <from>
                <xdr:col>12</xdr:col>
                <xdr:colOff>209550</xdr:colOff>
                <xdr:row>130</xdr:row>
                <xdr:rowOff>0</xdr:rowOff>
              </from>
              <to>
                <xdr:col>12</xdr:col>
                <xdr:colOff>361950</xdr:colOff>
                <xdr:row>131</xdr:row>
                <xdr:rowOff>0</xdr:rowOff>
              </to>
            </anchor>
          </controlPr>
        </control>
      </mc:Choice>
      <mc:Fallback>
        <control shapeId="6250" r:id="rId66" name="CheckBox17"/>
      </mc:Fallback>
    </mc:AlternateContent>
    <mc:AlternateContent xmlns:mc="http://schemas.openxmlformats.org/markup-compatibility/2006">
      <mc:Choice Requires="x14">
        <control shapeId="6260" r:id="rId68" name="chk_3ApInfl">
          <controlPr locked="0" defaultSize="0" autoLine="0" linkedCell="Sheet1!E67" r:id="rId69">
            <anchor moveWithCells="1">
              <from>
                <xdr:col>19</xdr:col>
                <xdr:colOff>171450</xdr:colOff>
                <xdr:row>130</xdr:row>
                <xdr:rowOff>9525</xdr:rowOff>
              </from>
              <to>
                <xdr:col>19</xdr:col>
                <xdr:colOff>323850</xdr:colOff>
                <xdr:row>131</xdr:row>
                <xdr:rowOff>9525</xdr:rowOff>
              </to>
            </anchor>
          </controlPr>
        </control>
      </mc:Choice>
      <mc:Fallback>
        <control shapeId="6260" r:id="rId68" name="chk_3ApInfl"/>
      </mc:Fallback>
    </mc:AlternateContent>
    <mc:AlternateContent xmlns:mc="http://schemas.openxmlformats.org/markup-compatibility/2006">
      <mc:Choice Requires="x14">
        <control shapeId="6264" r:id="rId70" name="ChkDiab">
          <controlPr locked="0" defaultSize="0" autoLine="0" autoPict="0" linkedCell="Sheet1!E85" r:id="rId71">
            <anchor moveWithCells="1">
              <from>
                <xdr:col>11</xdr:col>
                <xdr:colOff>38100</xdr:colOff>
                <xdr:row>54</xdr:row>
                <xdr:rowOff>28575</xdr:rowOff>
              </from>
              <to>
                <xdr:col>12</xdr:col>
                <xdr:colOff>142875</xdr:colOff>
                <xdr:row>54</xdr:row>
                <xdr:rowOff>219075</xdr:rowOff>
              </to>
            </anchor>
          </controlPr>
        </control>
      </mc:Choice>
      <mc:Fallback>
        <control shapeId="6264" r:id="rId70" name="ChkDiab"/>
      </mc:Fallback>
    </mc:AlternateContent>
    <mc:AlternateContent xmlns:mc="http://schemas.openxmlformats.org/markup-compatibility/2006">
      <mc:Choice Requires="x14">
        <control shapeId="6266" r:id="rId72" name="ChkMCS">
          <controlPr locked="0" defaultSize="0" autoLine="0" linkedCell="Sheet1!E86" r:id="rId73">
            <anchor moveWithCells="1">
              <from>
                <xdr:col>18</xdr:col>
                <xdr:colOff>28575</xdr:colOff>
                <xdr:row>54</xdr:row>
                <xdr:rowOff>28575</xdr:rowOff>
              </from>
              <to>
                <xdr:col>19</xdr:col>
                <xdr:colOff>152400</xdr:colOff>
                <xdr:row>54</xdr:row>
                <xdr:rowOff>238125</xdr:rowOff>
              </to>
            </anchor>
          </controlPr>
        </control>
      </mc:Choice>
      <mc:Fallback>
        <control shapeId="6266" r:id="rId72" name="ChkMCS"/>
      </mc:Fallback>
    </mc:AlternateContent>
    <mc:AlternateContent xmlns:mc="http://schemas.openxmlformats.org/markup-compatibility/2006">
      <mc:Choice Requires="x14">
        <control shapeId="6282" r:id="rId74" name="CheckBox2">
          <controlPr locked="0" defaultSize="0" autoLine="0" linkedCell="Sheet1!E133" r:id="rId75">
            <anchor moveWithCells="1">
              <from>
                <xdr:col>3</xdr:col>
                <xdr:colOff>47625</xdr:colOff>
                <xdr:row>69</xdr:row>
                <xdr:rowOff>9525</xdr:rowOff>
              </from>
              <to>
                <xdr:col>3</xdr:col>
                <xdr:colOff>200025</xdr:colOff>
                <xdr:row>69</xdr:row>
                <xdr:rowOff>209550</xdr:rowOff>
              </to>
            </anchor>
          </controlPr>
        </control>
      </mc:Choice>
      <mc:Fallback>
        <control shapeId="6282" r:id="rId74" name="CheckBox2"/>
      </mc:Fallback>
    </mc:AlternateContent>
    <mc:AlternateContent xmlns:mc="http://schemas.openxmlformats.org/markup-compatibility/2006">
      <mc:Choice Requires="x14">
        <control shapeId="6311" r:id="rId76" name="CheckBox5">
          <controlPr locked="0" defaultSize="0" autoLine="0" linkedCell="Sheet1!E232" r:id="rId77">
            <anchor moveWithCells="1">
              <from>
                <xdr:col>3</xdr:col>
                <xdr:colOff>28575</xdr:colOff>
                <xdr:row>175</xdr:row>
                <xdr:rowOff>0</xdr:rowOff>
              </from>
              <to>
                <xdr:col>3</xdr:col>
                <xdr:colOff>180975</xdr:colOff>
                <xdr:row>176</xdr:row>
                <xdr:rowOff>0</xdr:rowOff>
              </to>
            </anchor>
          </controlPr>
        </control>
      </mc:Choice>
      <mc:Fallback>
        <control shapeId="6311" r:id="rId76" name="CheckBox5"/>
      </mc:Fallback>
    </mc:AlternateContent>
    <mc:AlternateContent xmlns:mc="http://schemas.openxmlformats.org/markup-compatibility/2006">
      <mc:Choice Requires="x14">
        <control shapeId="6312" r:id="rId78" name="CheckBox6">
          <controlPr locked="0" defaultSize="0" autoLine="0" linkedCell="Sheet1!E233" r:id="rId79">
            <anchor moveWithCells="1">
              <from>
                <xdr:col>3</xdr:col>
                <xdr:colOff>28575</xdr:colOff>
                <xdr:row>176</xdr:row>
                <xdr:rowOff>9525</xdr:rowOff>
              </from>
              <to>
                <xdr:col>3</xdr:col>
                <xdr:colOff>180975</xdr:colOff>
                <xdr:row>177</xdr:row>
                <xdr:rowOff>9525</xdr:rowOff>
              </to>
            </anchor>
          </controlPr>
        </control>
      </mc:Choice>
      <mc:Fallback>
        <control shapeId="6312" r:id="rId78" name="CheckBox6"/>
      </mc:Fallback>
    </mc:AlternateContent>
    <mc:AlternateContent xmlns:mc="http://schemas.openxmlformats.org/markup-compatibility/2006">
      <mc:Choice Requires="x14">
        <control shapeId="6313" r:id="rId80" name="CheckBox18">
          <controlPr locked="0" defaultSize="0" autoLine="0" linkedCell="Sheet1!E234" r:id="rId81">
            <anchor moveWithCells="1">
              <from>
                <xdr:col>5</xdr:col>
                <xdr:colOff>209550</xdr:colOff>
                <xdr:row>177</xdr:row>
                <xdr:rowOff>47625</xdr:rowOff>
              </from>
              <to>
                <xdr:col>5</xdr:col>
                <xdr:colOff>361950</xdr:colOff>
                <xdr:row>178</xdr:row>
                <xdr:rowOff>38100</xdr:rowOff>
              </to>
            </anchor>
          </controlPr>
        </control>
      </mc:Choice>
      <mc:Fallback>
        <control shapeId="6313" r:id="rId80" name="CheckBox18"/>
      </mc:Fallback>
    </mc:AlternateContent>
    <mc:AlternateContent xmlns:mc="http://schemas.openxmlformats.org/markup-compatibility/2006">
      <mc:Choice Requires="x14">
        <control shapeId="6314" r:id="rId82" name="CheckBox19">
          <controlPr locked="0" defaultSize="0" autoLine="0" linkedCell="Sheet1!E235" r:id="rId83">
            <anchor moveWithCells="1">
              <from>
                <xdr:col>5</xdr:col>
                <xdr:colOff>209550</xdr:colOff>
                <xdr:row>176</xdr:row>
                <xdr:rowOff>19050</xdr:rowOff>
              </from>
              <to>
                <xdr:col>5</xdr:col>
                <xdr:colOff>361950</xdr:colOff>
                <xdr:row>177</xdr:row>
                <xdr:rowOff>19050</xdr:rowOff>
              </to>
            </anchor>
          </controlPr>
        </control>
      </mc:Choice>
      <mc:Fallback>
        <control shapeId="6314" r:id="rId82" name="CheckBox19"/>
      </mc:Fallback>
    </mc:AlternateContent>
    <mc:AlternateContent xmlns:mc="http://schemas.openxmlformats.org/markup-compatibility/2006">
      <mc:Choice Requires="x14">
        <control shapeId="6315" r:id="rId84" name="CheckBox20">
          <controlPr locked="0" defaultSize="0" autoLine="0" linkedCell="Sheet1!E253" r:id="rId85">
            <anchor moveWithCells="1">
              <from>
                <xdr:col>10</xdr:col>
                <xdr:colOff>28575</xdr:colOff>
                <xdr:row>175</xdr:row>
                <xdr:rowOff>0</xdr:rowOff>
              </from>
              <to>
                <xdr:col>10</xdr:col>
                <xdr:colOff>180975</xdr:colOff>
                <xdr:row>176</xdr:row>
                <xdr:rowOff>0</xdr:rowOff>
              </to>
            </anchor>
          </controlPr>
        </control>
      </mc:Choice>
      <mc:Fallback>
        <control shapeId="6315" r:id="rId84" name="CheckBox20"/>
      </mc:Fallback>
    </mc:AlternateContent>
    <mc:AlternateContent xmlns:mc="http://schemas.openxmlformats.org/markup-compatibility/2006">
      <mc:Choice Requires="x14">
        <control shapeId="6316" r:id="rId86" name="CheckBox21">
          <controlPr locked="0" defaultSize="0" autoLine="0" linkedCell="Sheet1!E254" r:id="rId87">
            <anchor moveWithCells="1">
              <from>
                <xdr:col>10</xdr:col>
                <xdr:colOff>28575</xdr:colOff>
                <xdr:row>176</xdr:row>
                <xdr:rowOff>19050</xdr:rowOff>
              </from>
              <to>
                <xdr:col>10</xdr:col>
                <xdr:colOff>180975</xdr:colOff>
                <xdr:row>177</xdr:row>
                <xdr:rowOff>19050</xdr:rowOff>
              </to>
            </anchor>
          </controlPr>
        </control>
      </mc:Choice>
      <mc:Fallback>
        <control shapeId="6316" r:id="rId86" name="CheckBox21"/>
      </mc:Fallback>
    </mc:AlternateContent>
    <mc:AlternateContent xmlns:mc="http://schemas.openxmlformats.org/markup-compatibility/2006">
      <mc:Choice Requires="x14">
        <control shapeId="6317" r:id="rId88" name="CheckBox22">
          <controlPr locked="0" defaultSize="0" autoLine="0" linkedCell="Sheet1!E256" r:id="rId89">
            <anchor moveWithCells="1">
              <from>
                <xdr:col>12</xdr:col>
                <xdr:colOff>209550</xdr:colOff>
                <xdr:row>176</xdr:row>
                <xdr:rowOff>19050</xdr:rowOff>
              </from>
              <to>
                <xdr:col>12</xdr:col>
                <xdr:colOff>361950</xdr:colOff>
                <xdr:row>177</xdr:row>
                <xdr:rowOff>19050</xdr:rowOff>
              </to>
            </anchor>
          </controlPr>
        </control>
      </mc:Choice>
      <mc:Fallback>
        <control shapeId="6317" r:id="rId88" name="CheckBox22"/>
      </mc:Fallback>
    </mc:AlternateContent>
    <mc:AlternateContent xmlns:mc="http://schemas.openxmlformats.org/markup-compatibility/2006">
      <mc:Choice Requires="x14">
        <control shapeId="6318" r:id="rId90" name="CheckBox23">
          <controlPr locked="0" defaultSize="0" autoLine="0" linkedCell="Sheet1!E274" r:id="rId91">
            <anchor moveWithCells="1">
              <from>
                <xdr:col>17</xdr:col>
                <xdr:colOff>28575</xdr:colOff>
                <xdr:row>175</xdr:row>
                <xdr:rowOff>0</xdr:rowOff>
              </from>
              <to>
                <xdr:col>17</xdr:col>
                <xdr:colOff>180975</xdr:colOff>
                <xdr:row>176</xdr:row>
                <xdr:rowOff>0</xdr:rowOff>
              </to>
            </anchor>
          </controlPr>
        </control>
      </mc:Choice>
      <mc:Fallback>
        <control shapeId="6318" r:id="rId90" name="CheckBox23"/>
      </mc:Fallback>
    </mc:AlternateContent>
    <mc:AlternateContent xmlns:mc="http://schemas.openxmlformats.org/markup-compatibility/2006">
      <mc:Choice Requires="x14">
        <control shapeId="6319" r:id="rId92" name="CheckBox24">
          <controlPr locked="0" defaultSize="0" autoLine="0" linkedCell="Sheet1!E275" r:id="rId93">
            <anchor moveWithCells="1">
              <from>
                <xdr:col>17</xdr:col>
                <xdr:colOff>28575</xdr:colOff>
                <xdr:row>176</xdr:row>
                <xdr:rowOff>0</xdr:rowOff>
              </from>
              <to>
                <xdr:col>17</xdr:col>
                <xdr:colOff>180975</xdr:colOff>
                <xdr:row>177</xdr:row>
                <xdr:rowOff>0</xdr:rowOff>
              </to>
            </anchor>
          </controlPr>
        </control>
      </mc:Choice>
      <mc:Fallback>
        <control shapeId="6319" r:id="rId92" name="CheckBox24"/>
      </mc:Fallback>
    </mc:AlternateContent>
    <mc:AlternateContent xmlns:mc="http://schemas.openxmlformats.org/markup-compatibility/2006">
      <mc:Choice Requires="x14">
        <control shapeId="6320" r:id="rId94" name="CheckBox25">
          <controlPr locked="0" defaultSize="0" autoLine="0" linkedCell="Sheet1!E276" r:id="rId95">
            <anchor moveWithCells="1">
              <from>
                <xdr:col>19</xdr:col>
                <xdr:colOff>171450</xdr:colOff>
                <xdr:row>177</xdr:row>
                <xdr:rowOff>38100</xdr:rowOff>
              </from>
              <to>
                <xdr:col>19</xdr:col>
                <xdr:colOff>323850</xdr:colOff>
                <xdr:row>178</xdr:row>
                <xdr:rowOff>28575</xdr:rowOff>
              </to>
            </anchor>
          </controlPr>
        </control>
      </mc:Choice>
      <mc:Fallback>
        <control shapeId="6320" r:id="rId94" name="CheckBox25"/>
      </mc:Fallback>
    </mc:AlternateContent>
    <mc:AlternateContent xmlns:mc="http://schemas.openxmlformats.org/markup-compatibility/2006">
      <mc:Choice Requires="x14">
        <control shapeId="6321" r:id="rId96" name="CheckBox26">
          <controlPr defaultSize="0" autoLine="0" linkedCell="Sheet1!E277" r:id="rId97">
            <anchor moveWithCells="1">
              <from>
                <xdr:col>19</xdr:col>
                <xdr:colOff>171450</xdr:colOff>
                <xdr:row>176</xdr:row>
                <xdr:rowOff>19050</xdr:rowOff>
              </from>
              <to>
                <xdr:col>19</xdr:col>
                <xdr:colOff>323850</xdr:colOff>
                <xdr:row>177</xdr:row>
                <xdr:rowOff>19050</xdr:rowOff>
              </to>
            </anchor>
          </controlPr>
        </control>
      </mc:Choice>
      <mc:Fallback>
        <control shapeId="6321" r:id="rId96" name="CheckBox26"/>
      </mc:Fallback>
    </mc:AlternateContent>
    <mc:AlternateContent xmlns:mc="http://schemas.openxmlformats.org/markup-compatibility/2006">
      <mc:Choice Requires="x14">
        <control shapeId="6322" r:id="rId98" name="CheckBox27">
          <controlPr locked="0" defaultSize="0" autoLine="0" linkedCell="Sheet1!E236" r:id="rId99">
            <anchor moveWithCells="1">
              <from>
                <xdr:col>3</xdr:col>
                <xdr:colOff>28575</xdr:colOff>
                <xdr:row>179</xdr:row>
                <xdr:rowOff>9525</xdr:rowOff>
              </from>
              <to>
                <xdr:col>3</xdr:col>
                <xdr:colOff>180975</xdr:colOff>
                <xdr:row>180</xdr:row>
                <xdr:rowOff>9525</xdr:rowOff>
              </to>
            </anchor>
          </controlPr>
        </control>
      </mc:Choice>
      <mc:Fallback>
        <control shapeId="6322" r:id="rId98" name="CheckBox27"/>
      </mc:Fallback>
    </mc:AlternateContent>
    <mc:AlternateContent xmlns:mc="http://schemas.openxmlformats.org/markup-compatibility/2006">
      <mc:Choice Requires="x14">
        <control shapeId="6323" r:id="rId100" name="CheckBox28">
          <controlPr locked="0" defaultSize="0" autoLine="0" linkedCell="Sheet1!E237" r:id="rId101">
            <anchor moveWithCells="1">
              <from>
                <xdr:col>3</xdr:col>
                <xdr:colOff>28575</xdr:colOff>
                <xdr:row>180</xdr:row>
                <xdr:rowOff>19050</xdr:rowOff>
              </from>
              <to>
                <xdr:col>3</xdr:col>
                <xdr:colOff>180975</xdr:colOff>
                <xdr:row>181</xdr:row>
                <xdr:rowOff>19050</xdr:rowOff>
              </to>
            </anchor>
          </controlPr>
        </control>
      </mc:Choice>
      <mc:Fallback>
        <control shapeId="6323" r:id="rId100" name="CheckBox28"/>
      </mc:Fallback>
    </mc:AlternateContent>
    <mc:AlternateContent xmlns:mc="http://schemas.openxmlformats.org/markup-compatibility/2006">
      <mc:Choice Requires="x14">
        <control shapeId="6324" r:id="rId102" name="CheckBox29">
          <controlPr locked="0" defaultSize="0" autoLine="0" linkedCell="Sheet1!E257" r:id="rId103">
            <anchor moveWithCells="1">
              <from>
                <xdr:col>10</xdr:col>
                <xdr:colOff>28575</xdr:colOff>
                <xdr:row>179</xdr:row>
                <xdr:rowOff>9525</xdr:rowOff>
              </from>
              <to>
                <xdr:col>10</xdr:col>
                <xdr:colOff>180975</xdr:colOff>
                <xdr:row>180</xdr:row>
                <xdr:rowOff>9525</xdr:rowOff>
              </to>
            </anchor>
          </controlPr>
        </control>
      </mc:Choice>
      <mc:Fallback>
        <control shapeId="6324" r:id="rId102" name="CheckBox29"/>
      </mc:Fallback>
    </mc:AlternateContent>
    <mc:AlternateContent xmlns:mc="http://schemas.openxmlformats.org/markup-compatibility/2006">
      <mc:Choice Requires="x14">
        <control shapeId="6325" r:id="rId104" name="CheckBox31">
          <controlPr locked="0" defaultSize="0" autoLine="0" linkedCell="Sheet1!E258" r:id="rId105">
            <anchor moveWithCells="1">
              <from>
                <xdr:col>10</xdr:col>
                <xdr:colOff>28575</xdr:colOff>
                <xdr:row>180</xdr:row>
                <xdr:rowOff>19050</xdr:rowOff>
              </from>
              <to>
                <xdr:col>10</xdr:col>
                <xdr:colOff>180975</xdr:colOff>
                <xdr:row>181</xdr:row>
                <xdr:rowOff>19050</xdr:rowOff>
              </to>
            </anchor>
          </controlPr>
        </control>
      </mc:Choice>
      <mc:Fallback>
        <control shapeId="6325" r:id="rId104" name="CheckBox31"/>
      </mc:Fallback>
    </mc:AlternateContent>
    <mc:AlternateContent xmlns:mc="http://schemas.openxmlformats.org/markup-compatibility/2006">
      <mc:Choice Requires="x14">
        <control shapeId="6326" r:id="rId106" name="CheckBox32">
          <controlPr locked="0" defaultSize="0" autoLine="0" linkedCell="Sheet1!E278" r:id="rId107">
            <anchor moveWithCells="1">
              <from>
                <xdr:col>17</xdr:col>
                <xdr:colOff>28575</xdr:colOff>
                <xdr:row>179</xdr:row>
                <xdr:rowOff>9525</xdr:rowOff>
              </from>
              <to>
                <xdr:col>17</xdr:col>
                <xdr:colOff>180975</xdr:colOff>
                <xdr:row>180</xdr:row>
                <xdr:rowOff>9525</xdr:rowOff>
              </to>
            </anchor>
          </controlPr>
        </control>
      </mc:Choice>
      <mc:Fallback>
        <control shapeId="6326" r:id="rId106" name="CheckBox32"/>
      </mc:Fallback>
    </mc:AlternateContent>
    <mc:AlternateContent xmlns:mc="http://schemas.openxmlformats.org/markup-compatibility/2006">
      <mc:Choice Requires="x14">
        <control shapeId="6327" r:id="rId108" name="CheckBox33">
          <controlPr locked="0" defaultSize="0" autoLine="0" linkedCell="Sheet1!E279" r:id="rId109">
            <anchor moveWithCells="1">
              <from>
                <xdr:col>17</xdr:col>
                <xdr:colOff>28575</xdr:colOff>
                <xdr:row>180</xdr:row>
                <xdr:rowOff>19050</xdr:rowOff>
              </from>
              <to>
                <xdr:col>17</xdr:col>
                <xdr:colOff>180975</xdr:colOff>
                <xdr:row>181</xdr:row>
                <xdr:rowOff>19050</xdr:rowOff>
              </to>
            </anchor>
          </controlPr>
        </control>
      </mc:Choice>
      <mc:Fallback>
        <control shapeId="6327" r:id="rId108" name="CheckBox33"/>
      </mc:Fallback>
    </mc:AlternateContent>
    <mc:AlternateContent xmlns:mc="http://schemas.openxmlformats.org/markup-compatibility/2006">
      <mc:Choice Requires="x14">
        <control shapeId="6328" r:id="rId110" name="CheckBox34">
          <controlPr locked="0" defaultSize="0" autoLine="0" linkedCell="Sheet1!E223" r:id="rId111">
            <anchor moveWithCells="1">
              <from>
                <xdr:col>5</xdr:col>
                <xdr:colOff>209550</xdr:colOff>
                <xdr:row>175</xdr:row>
                <xdr:rowOff>0</xdr:rowOff>
              </from>
              <to>
                <xdr:col>5</xdr:col>
                <xdr:colOff>361950</xdr:colOff>
                <xdr:row>176</xdr:row>
                <xdr:rowOff>0</xdr:rowOff>
              </to>
            </anchor>
          </controlPr>
        </control>
      </mc:Choice>
      <mc:Fallback>
        <control shapeId="6328" r:id="rId110" name="CheckBox34"/>
      </mc:Fallback>
    </mc:AlternateContent>
    <mc:AlternateContent xmlns:mc="http://schemas.openxmlformats.org/markup-compatibility/2006">
      <mc:Choice Requires="x14">
        <control shapeId="6329" r:id="rId112" name="CheckBox35">
          <controlPr locked="0" defaultSize="0" autoLine="0" linkedCell="Sheet1!E244" r:id="rId113">
            <anchor moveWithCells="1">
              <from>
                <xdr:col>12</xdr:col>
                <xdr:colOff>209550</xdr:colOff>
                <xdr:row>175</xdr:row>
                <xdr:rowOff>0</xdr:rowOff>
              </from>
              <to>
                <xdr:col>12</xdr:col>
                <xdr:colOff>361950</xdr:colOff>
                <xdr:row>176</xdr:row>
                <xdr:rowOff>0</xdr:rowOff>
              </to>
            </anchor>
          </controlPr>
        </control>
      </mc:Choice>
      <mc:Fallback>
        <control shapeId="6329" r:id="rId112" name="CheckBox35"/>
      </mc:Fallback>
    </mc:AlternateContent>
    <mc:AlternateContent xmlns:mc="http://schemas.openxmlformats.org/markup-compatibility/2006">
      <mc:Choice Requires="x14">
        <control shapeId="6330" r:id="rId114" name="CheckBox36">
          <controlPr locked="0" defaultSize="0" autoLine="0" linkedCell="Sheet1!E265" r:id="rId115">
            <anchor moveWithCells="1">
              <from>
                <xdr:col>19</xdr:col>
                <xdr:colOff>171450</xdr:colOff>
                <xdr:row>175</xdr:row>
                <xdr:rowOff>9525</xdr:rowOff>
              </from>
              <to>
                <xdr:col>19</xdr:col>
                <xdr:colOff>323850</xdr:colOff>
                <xdr:row>176</xdr:row>
                <xdr:rowOff>9525</xdr:rowOff>
              </to>
            </anchor>
          </controlPr>
        </control>
      </mc:Choice>
      <mc:Fallback>
        <control shapeId="6330" r:id="rId114" name="CheckBox36"/>
      </mc:Fallback>
    </mc:AlternateContent>
    <mc:AlternateContent xmlns:mc="http://schemas.openxmlformats.org/markup-compatibility/2006">
      <mc:Choice Requires="x14">
        <control shapeId="6331" r:id="rId116" name="CheckBox37">
          <controlPr locked="0" defaultSize="0" autoLine="0" linkedCell="Sheet1!E255" r:id="rId117">
            <anchor moveWithCells="1">
              <from>
                <xdr:col>12</xdr:col>
                <xdr:colOff>209550</xdr:colOff>
                <xdr:row>177</xdr:row>
                <xdr:rowOff>57150</xdr:rowOff>
              </from>
              <to>
                <xdr:col>12</xdr:col>
                <xdr:colOff>361950</xdr:colOff>
                <xdr:row>178</xdr:row>
                <xdr:rowOff>47625</xdr:rowOff>
              </to>
            </anchor>
          </controlPr>
        </control>
      </mc:Choice>
      <mc:Fallback>
        <control shapeId="6331" r:id="rId116" name="CheckBox37"/>
      </mc:Fallback>
    </mc:AlternateContent>
    <mc:AlternateContent xmlns:mc="http://schemas.openxmlformats.org/markup-compatibility/2006">
      <mc:Choice Requires="x14">
        <control shapeId="6332" r:id="rId118" name="CheckBox38">
          <controlPr locked="0" defaultSize="0" autoLine="0" linkedCell="Sheet1!E295" r:id="rId119">
            <anchor moveWithCells="1">
              <from>
                <xdr:col>3</xdr:col>
                <xdr:colOff>28575</xdr:colOff>
                <xdr:row>220</xdr:row>
                <xdr:rowOff>0</xdr:rowOff>
              </from>
              <to>
                <xdr:col>3</xdr:col>
                <xdr:colOff>180975</xdr:colOff>
                <xdr:row>221</xdr:row>
                <xdr:rowOff>0</xdr:rowOff>
              </to>
            </anchor>
          </controlPr>
        </control>
      </mc:Choice>
      <mc:Fallback>
        <control shapeId="6332" r:id="rId118" name="CheckBox38"/>
      </mc:Fallback>
    </mc:AlternateContent>
    <mc:AlternateContent xmlns:mc="http://schemas.openxmlformats.org/markup-compatibility/2006">
      <mc:Choice Requires="x14">
        <control shapeId="6333" r:id="rId120" name="CheckBox39">
          <controlPr locked="0" defaultSize="0" autoLine="0" linkedCell="Sheet1!E296" r:id="rId121">
            <anchor moveWithCells="1">
              <from>
                <xdr:col>3</xdr:col>
                <xdr:colOff>28575</xdr:colOff>
                <xdr:row>221</xdr:row>
                <xdr:rowOff>9525</xdr:rowOff>
              </from>
              <to>
                <xdr:col>3</xdr:col>
                <xdr:colOff>180975</xdr:colOff>
                <xdr:row>222</xdr:row>
                <xdr:rowOff>9525</xdr:rowOff>
              </to>
            </anchor>
          </controlPr>
        </control>
      </mc:Choice>
      <mc:Fallback>
        <control shapeId="6333" r:id="rId120" name="CheckBox39"/>
      </mc:Fallback>
    </mc:AlternateContent>
    <mc:AlternateContent xmlns:mc="http://schemas.openxmlformats.org/markup-compatibility/2006">
      <mc:Choice Requires="x14">
        <control shapeId="6334" r:id="rId122" name="CheckBox40">
          <controlPr locked="0" defaultSize="0" autoLine="0" linkedCell="Sheet1!E297" r:id="rId123">
            <anchor moveWithCells="1">
              <from>
                <xdr:col>5</xdr:col>
                <xdr:colOff>209550</xdr:colOff>
                <xdr:row>222</xdr:row>
                <xdr:rowOff>47625</xdr:rowOff>
              </from>
              <to>
                <xdr:col>5</xdr:col>
                <xdr:colOff>361950</xdr:colOff>
                <xdr:row>223</xdr:row>
                <xdr:rowOff>38100</xdr:rowOff>
              </to>
            </anchor>
          </controlPr>
        </control>
      </mc:Choice>
      <mc:Fallback>
        <control shapeId="6334" r:id="rId122" name="CheckBox40"/>
      </mc:Fallback>
    </mc:AlternateContent>
    <mc:AlternateContent xmlns:mc="http://schemas.openxmlformats.org/markup-compatibility/2006">
      <mc:Choice Requires="x14">
        <control shapeId="6335" r:id="rId124" name="CheckBox41">
          <controlPr locked="0" defaultSize="0" autoLine="0" linkedCell="Sheet1!E298" r:id="rId125">
            <anchor moveWithCells="1">
              <from>
                <xdr:col>5</xdr:col>
                <xdr:colOff>209550</xdr:colOff>
                <xdr:row>221</xdr:row>
                <xdr:rowOff>19050</xdr:rowOff>
              </from>
              <to>
                <xdr:col>5</xdr:col>
                <xdr:colOff>361950</xdr:colOff>
                <xdr:row>222</xdr:row>
                <xdr:rowOff>19050</xdr:rowOff>
              </to>
            </anchor>
          </controlPr>
        </control>
      </mc:Choice>
      <mc:Fallback>
        <control shapeId="6335" r:id="rId124" name="CheckBox41"/>
      </mc:Fallback>
    </mc:AlternateContent>
    <mc:AlternateContent xmlns:mc="http://schemas.openxmlformats.org/markup-compatibility/2006">
      <mc:Choice Requires="x14">
        <control shapeId="6336" r:id="rId126" name="CheckBox42">
          <controlPr locked="0" defaultSize="0" autoLine="0" linkedCell="Sheet1!E316" r:id="rId127">
            <anchor moveWithCells="1">
              <from>
                <xdr:col>10</xdr:col>
                <xdr:colOff>28575</xdr:colOff>
                <xdr:row>220</xdr:row>
                <xdr:rowOff>0</xdr:rowOff>
              </from>
              <to>
                <xdr:col>10</xdr:col>
                <xdr:colOff>180975</xdr:colOff>
                <xdr:row>221</xdr:row>
                <xdr:rowOff>0</xdr:rowOff>
              </to>
            </anchor>
          </controlPr>
        </control>
      </mc:Choice>
      <mc:Fallback>
        <control shapeId="6336" r:id="rId126" name="CheckBox42"/>
      </mc:Fallback>
    </mc:AlternateContent>
    <mc:AlternateContent xmlns:mc="http://schemas.openxmlformats.org/markup-compatibility/2006">
      <mc:Choice Requires="x14">
        <control shapeId="6337" r:id="rId128" name="CheckBox43">
          <controlPr locked="0" defaultSize="0" autoLine="0" linkedCell="Sheet1!E317" r:id="rId129">
            <anchor moveWithCells="1">
              <from>
                <xdr:col>10</xdr:col>
                <xdr:colOff>28575</xdr:colOff>
                <xdr:row>221</xdr:row>
                <xdr:rowOff>19050</xdr:rowOff>
              </from>
              <to>
                <xdr:col>10</xdr:col>
                <xdr:colOff>180975</xdr:colOff>
                <xdr:row>222</xdr:row>
                <xdr:rowOff>19050</xdr:rowOff>
              </to>
            </anchor>
          </controlPr>
        </control>
      </mc:Choice>
      <mc:Fallback>
        <control shapeId="6337" r:id="rId128" name="CheckBox43"/>
      </mc:Fallback>
    </mc:AlternateContent>
    <mc:AlternateContent xmlns:mc="http://schemas.openxmlformats.org/markup-compatibility/2006">
      <mc:Choice Requires="x14">
        <control shapeId="6338" r:id="rId130" name="CheckBox44">
          <controlPr locked="0" defaultSize="0" autoLine="0" linkedCell="Sheet1!E319" r:id="rId131">
            <anchor moveWithCells="1">
              <from>
                <xdr:col>12</xdr:col>
                <xdr:colOff>209550</xdr:colOff>
                <xdr:row>221</xdr:row>
                <xdr:rowOff>19050</xdr:rowOff>
              </from>
              <to>
                <xdr:col>12</xdr:col>
                <xdr:colOff>361950</xdr:colOff>
                <xdr:row>222</xdr:row>
                <xdr:rowOff>19050</xdr:rowOff>
              </to>
            </anchor>
          </controlPr>
        </control>
      </mc:Choice>
      <mc:Fallback>
        <control shapeId="6338" r:id="rId130" name="CheckBox44"/>
      </mc:Fallback>
    </mc:AlternateContent>
    <mc:AlternateContent xmlns:mc="http://schemas.openxmlformats.org/markup-compatibility/2006">
      <mc:Choice Requires="x14">
        <control shapeId="6339" r:id="rId132" name="CheckBox45">
          <controlPr locked="0" defaultSize="0" autoLine="0" linkedCell="Sheet1!E337" r:id="rId133">
            <anchor moveWithCells="1">
              <from>
                <xdr:col>17</xdr:col>
                <xdr:colOff>28575</xdr:colOff>
                <xdr:row>220</xdr:row>
                <xdr:rowOff>0</xdr:rowOff>
              </from>
              <to>
                <xdr:col>17</xdr:col>
                <xdr:colOff>180975</xdr:colOff>
                <xdr:row>221</xdr:row>
                <xdr:rowOff>0</xdr:rowOff>
              </to>
            </anchor>
          </controlPr>
        </control>
      </mc:Choice>
      <mc:Fallback>
        <control shapeId="6339" r:id="rId132" name="CheckBox45"/>
      </mc:Fallback>
    </mc:AlternateContent>
    <mc:AlternateContent xmlns:mc="http://schemas.openxmlformats.org/markup-compatibility/2006">
      <mc:Choice Requires="x14">
        <control shapeId="6340" r:id="rId134" name="CheckBox46">
          <controlPr locked="0" defaultSize="0" autoLine="0" linkedCell="Sheet1!E338" r:id="rId135">
            <anchor moveWithCells="1">
              <from>
                <xdr:col>17</xdr:col>
                <xdr:colOff>28575</xdr:colOff>
                <xdr:row>221</xdr:row>
                <xdr:rowOff>0</xdr:rowOff>
              </from>
              <to>
                <xdr:col>17</xdr:col>
                <xdr:colOff>180975</xdr:colOff>
                <xdr:row>222</xdr:row>
                <xdr:rowOff>0</xdr:rowOff>
              </to>
            </anchor>
          </controlPr>
        </control>
      </mc:Choice>
      <mc:Fallback>
        <control shapeId="6340" r:id="rId134" name="CheckBox46"/>
      </mc:Fallback>
    </mc:AlternateContent>
    <mc:AlternateContent xmlns:mc="http://schemas.openxmlformats.org/markup-compatibility/2006">
      <mc:Choice Requires="x14">
        <control shapeId="6341" r:id="rId136" name="CheckBox47">
          <controlPr locked="0" defaultSize="0" autoLine="0" linkedCell="Sheet1!E339" r:id="rId137">
            <anchor moveWithCells="1">
              <from>
                <xdr:col>19</xdr:col>
                <xdr:colOff>171450</xdr:colOff>
                <xdr:row>222</xdr:row>
                <xdr:rowOff>38100</xdr:rowOff>
              </from>
              <to>
                <xdr:col>19</xdr:col>
                <xdr:colOff>323850</xdr:colOff>
                <xdr:row>223</xdr:row>
                <xdr:rowOff>28575</xdr:rowOff>
              </to>
            </anchor>
          </controlPr>
        </control>
      </mc:Choice>
      <mc:Fallback>
        <control shapeId="6341" r:id="rId136" name="CheckBox47"/>
      </mc:Fallback>
    </mc:AlternateContent>
    <mc:AlternateContent xmlns:mc="http://schemas.openxmlformats.org/markup-compatibility/2006">
      <mc:Choice Requires="x14">
        <control shapeId="6342" r:id="rId138" name="CheckBox48">
          <controlPr defaultSize="0" autoLine="0" linkedCell="Sheet1!E340" r:id="rId139">
            <anchor moveWithCells="1">
              <from>
                <xdr:col>19</xdr:col>
                <xdr:colOff>171450</xdr:colOff>
                <xdr:row>221</xdr:row>
                <xdr:rowOff>19050</xdr:rowOff>
              </from>
              <to>
                <xdr:col>19</xdr:col>
                <xdr:colOff>323850</xdr:colOff>
                <xdr:row>222</xdr:row>
                <xdr:rowOff>19050</xdr:rowOff>
              </to>
            </anchor>
          </controlPr>
        </control>
      </mc:Choice>
      <mc:Fallback>
        <control shapeId="6342" r:id="rId138" name="CheckBox48"/>
      </mc:Fallback>
    </mc:AlternateContent>
    <mc:AlternateContent xmlns:mc="http://schemas.openxmlformats.org/markup-compatibility/2006">
      <mc:Choice Requires="x14">
        <control shapeId="6343" r:id="rId140" name="CheckBox49">
          <controlPr locked="0" defaultSize="0" autoLine="0" linkedCell="Sheet1!E299" r:id="rId141">
            <anchor moveWithCells="1">
              <from>
                <xdr:col>3</xdr:col>
                <xdr:colOff>28575</xdr:colOff>
                <xdr:row>224</xdr:row>
                <xdr:rowOff>9525</xdr:rowOff>
              </from>
              <to>
                <xdr:col>3</xdr:col>
                <xdr:colOff>180975</xdr:colOff>
                <xdr:row>225</xdr:row>
                <xdr:rowOff>9525</xdr:rowOff>
              </to>
            </anchor>
          </controlPr>
        </control>
      </mc:Choice>
      <mc:Fallback>
        <control shapeId="6343" r:id="rId140" name="CheckBox49"/>
      </mc:Fallback>
    </mc:AlternateContent>
    <mc:AlternateContent xmlns:mc="http://schemas.openxmlformats.org/markup-compatibility/2006">
      <mc:Choice Requires="x14">
        <control shapeId="6344" r:id="rId142" name="CheckBox50">
          <controlPr locked="0" defaultSize="0" autoLine="0" linkedCell="Sheet1!E300" r:id="rId143">
            <anchor moveWithCells="1">
              <from>
                <xdr:col>3</xdr:col>
                <xdr:colOff>28575</xdr:colOff>
                <xdr:row>225</xdr:row>
                <xdr:rowOff>19050</xdr:rowOff>
              </from>
              <to>
                <xdr:col>3</xdr:col>
                <xdr:colOff>180975</xdr:colOff>
                <xdr:row>226</xdr:row>
                <xdr:rowOff>19050</xdr:rowOff>
              </to>
            </anchor>
          </controlPr>
        </control>
      </mc:Choice>
      <mc:Fallback>
        <control shapeId="6344" r:id="rId142" name="CheckBox50"/>
      </mc:Fallback>
    </mc:AlternateContent>
    <mc:AlternateContent xmlns:mc="http://schemas.openxmlformats.org/markup-compatibility/2006">
      <mc:Choice Requires="x14">
        <control shapeId="6345" r:id="rId144" name="CheckBox51">
          <controlPr locked="0" defaultSize="0" autoLine="0" linkedCell="Sheet1!E320" r:id="rId145">
            <anchor moveWithCells="1">
              <from>
                <xdr:col>10</xdr:col>
                <xdr:colOff>28575</xdr:colOff>
                <xdr:row>224</xdr:row>
                <xdr:rowOff>9525</xdr:rowOff>
              </from>
              <to>
                <xdr:col>10</xdr:col>
                <xdr:colOff>180975</xdr:colOff>
                <xdr:row>225</xdr:row>
                <xdr:rowOff>9525</xdr:rowOff>
              </to>
            </anchor>
          </controlPr>
        </control>
      </mc:Choice>
      <mc:Fallback>
        <control shapeId="6345" r:id="rId144" name="CheckBox51"/>
      </mc:Fallback>
    </mc:AlternateContent>
    <mc:AlternateContent xmlns:mc="http://schemas.openxmlformats.org/markup-compatibility/2006">
      <mc:Choice Requires="x14">
        <control shapeId="6346" r:id="rId146" name="CheckBox52">
          <controlPr locked="0" defaultSize="0" autoLine="0" linkedCell="Sheet1!E321" r:id="rId147">
            <anchor moveWithCells="1">
              <from>
                <xdr:col>10</xdr:col>
                <xdr:colOff>28575</xdr:colOff>
                <xdr:row>225</xdr:row>
                <xdr:rowOff>19050</xdr:rowOff>
              </from>
              <to>
                <xdr:col>10</xdr:col>
                <xdr:colOff>180975</xdr:colOff>
                <xdr:row>226</xdr:row>
                <xdr:rowOff>19050</xdr:rowOff>
              </to>
            </anchor>
          </controlPr>
        </control>
      </mc:Choice>
      <mc:Fallback>
        <control shapeId="6346" r:id="rId146" name="CheckBox52"/>
      </mc:Fallback>
    </mc:AlternateContent>
    <mc:AlternateContent xmlns:mc="http://schemas.openxmlformats.org/markup-compatibility/2006">
      <mc:Choice Requires="x14">
        <control shapeId="6347" r:id="rId148" name="CheckBox53">
          <controlPr locked="0" defaultSize="0" autoLine="0" linkedCell="Sheet1!E341" r:id="rId149">
            <anchor moveWithCells="1">
              <from>
                <xdr:col>17</xdr:col>
                <xdr:colOff>28575</xdr:colOff>
                <xdr:row>224</xdr:row>
                <xdr:rowOff>9525</xdr:rowOff>
              </from>
              <to>
                <xdr:col>17</xdr:col>
                <xdr:colOff>180975</xdr:colOff>
                <xdr:row>225</xdr:row>
                <xdr:rowOff>9525</xdr:rowOff>
              </to>
            </anchor>
          </controlPr>
        </control>
      </mc:Choice>
      <mc:Fallback>
        <control shapeId="6347" r:id="rId148" name="CheckBox53"/>
      </mc:Fallback>
    </mc:AlternateContent>
    <mc:AlternateContent xmlns:mc="http://schemas.openxmlformats.org/markup-compatibility/2006">
      <mc:Choice Requires="x14">
        <control shapeId="6348" r:id="rId150" name="CheckBox54">
          <controlPr locked="0" defaultSize="0" autoLine="0" linkedCell="Sheet1!E342" r:id="rId151">
            <anchor moveWithCells="1">
              <from>
                <xdr:col>17</xdr:col>
                <xdr:colOff>28575</xdr:colOff>
                <xdr:row>225</xdr:row>
                <xdr:rowOff>19050</xdr:rowOff>
              </from>
              <to>
                <xdr:col>17</xdr:col>
                <xdr:colOff>180975</xdr:colOff>
                <xdr:row>226</xdr:row>
                <xdr:rowOff>19050</xdr:rowOff>
              </to>
            </anchor>
          </controlPr>
        </control>
      </mc:Choice>
      <mc:Fallback>
        <control shapeId="6348" r:id="rId150" name="CheckBox54"/>
      </mc:Fallback>
    </mc:AlternateContent>
    <mc:AlternateContent xmlns:mc="http://schemas.openxmlformats.org/markup-compatibility/2006">
      <mc:Choice Requires="x14">
        <control shapeId="6349" r:id="rId152" name="CheckBox55">
          <controlPr locked="0" defaultSize="0" autoLine="0" linkedCell="Sheet1!E286" r:id="rId153">
            <anchor moveWithCells="1">
              <from>
                <xdr:col>5</xdr:col>
                <xdr:colOff>209550</xdr:colOff>
                <xdr:row>220</xdr:row>
                <xdr:rowOff>0</xdr:rowOff>
              </from>
              <to>
                <xdr:col>5</xdr:col>
                <xdr:colOff>361950</xdr:colOff>
                <xdr:row>221</xdr:row>
                <xdr:rowOff>0</xdr:rowOff>
              </to>
            </anchor>
          </controlPr>
        </control>
      </mc:Choice>
      <mc:Fallback>
        <control shapeId="6349" r:id="rId152" name="CheckBox55"/>
      </mc:Fallback>
    </mc:AlternateContent>
    <mc:AlternateContent xmlns:mc="http://schemas.openxmlformats.org/markup-compatibility/2006">
      <mc:Choice Requires="x14">
        <control shapeId="6350" r:id="rId154" name="CheckBox56">
          <controlPr locked="0" defaultSize="0" autoLine="0" linkedCell="Sheet1!E307" r:id="rId155">
            <anchor moveWithCells="1">
              <from>
                <xdr:col>12</xdr:col>
                <xdr:colOff>209550</xdr:colOff>
                <xdr:row>220</xdr:row>
                <xdr:rowOff>0</xdr:rowOff>
              </from>
              <to>
                <xdr:col>12</xdr:col>
                <xdr:colOff>361950</xdr:colOff>
                <xdr:row>221</xdr:row>
                <xdr:rowOff>0</xdr:rowOff>
              </to>
            </anchor>
          </controlPr>
        </control>
      </mc:Choice>
      <mc:Fallback>
        <control shapeId="6350" r:id="rId154" name="CheckBox56"/>
      </mc:Fallback>
    </mc:AlternateContent>
    <mc:AlternateContent xmlns:mc="http://schemas.openxmlformats.org/markup-compatibility/2006">
      <mc:Choice Requires="x14">
        <control shapeId="6351" r:id="rId156" name="CheckBox57">
          <controlPr locked="0" defaultSize="0" autoLine="0" linkedCell="Sheet1!E328" r:id="rId157">
            <anchor moveWithCells="1">
              <from>
                <xdr:col>19</xdr:col>
                <xdr:colOff>171450</xdr:colOff>
                <xdr:row>220</xdr:row>
                <xdr:rowOff>9525</xdr:rowOff>
              </from>
              <to>
                <xdr:col>19</xdr:col>
                <xdr:colOff>323850</xdr:colOff>
                <xdr:row>221</xdr:row>
                <xdr:rowOff>9525</xdr:rowOff>
              </to>
            </anchor>
          </controlPr>
        </control>
      </mc:Choice>
      <mc:Fallback>
        <control shapeId="6351" r:id="rId156" name="CheckBox57"/>
      </mc:Fallback>
    </mc:AlternateContent>
    <mc:AlternateContent xmlns:mc="http://schemas.openxmlformats.org/markup-compatibility/2006">
      <mc:Choice Requires="x14">
        <control shapeId="6352" r:id="rId158" name="CheckBox58">
          <controlPr locked="0" defaultSize="0" autoLine="0" linkedCell="Sheet1!E318" r:id="rId159">
            <anchor moveWithCells="1">
              <from>
                <xdr:col>12</xdr:col>
                <xdr:colOff>209550</xdr:colOff>
                <xdr:row>222</xdr:row>
                <xdr:rowOff>57150</xdr:rowOff>
              </from>
              <to>
                <xdr:col>12</xdr:col>
                <xdr:colOff>361950</xdr:colOff>
                <xdr:row>223</xdr:row>
                <xdr:rowOff>47625</xdr:rowOff>
              </to>
            </anchor>
          </controlPr>
        </control>
      </mc:Choice>
      <mc:Fallback>
        <control shapeId="6352" r:id="rId158" name="CheckBox58"/>
      </mc:Fallback>
    </mc:AlternateContent>
    <mc:AlternateContent xmlns:mc="http://schemas.openxmlformats.org/markup-compatibility/2006">
      <mc:Choice Requires="x14">
        <control shapeId="6355" r:id="rId160" name="ComboBox1">
          <controlPr defaultSize="0" autoLine="0" linkedCell="H19" listFillRange="Hospitals" r:id="rId161">
            <anchor moveWithCells="1">
              <from>
                <xdr:col>7</xdr:col>
                <xdr:colOff>0</xdr:colOff>
                <xdr:row>17</xdr:row>
                <xdr:rowOff>95250</xdr:rowOff>
              </from>
              <to>
                <xdr:col>22</xdr:col>
                <xdr:colOff>38100</xdr:colOff>
                <xdr:row>19</xdr:row>
                <xdr:rowOff>19050</xdr:rowOff>
              </to>
            </anchor>
          </controlPr>
        </control>
      </mc:Choice>
      <mc:Fallback>
        <control shapeId="6355" r:id="rId160" name="ComboBox1"/>
      </mc:Fallback>
    </mc:AlternateContent>
    <mc:AlternateContent xmlns:mc="http://schemas.openxmlformats.org/markup-compatibility/2006">
      <mc:Choice Requires="x14">
        <control shapeId="6357" r:id="rId162" name="ComboBox2">
          <controlPr defaultSize="0" autoLine="0" linkedCell="H21" listFillRange="MedAids" r:id="rId163">
            <anchor moveWithCells="1">
              <from>
                <xdr:col>7</xdr:col>
                <xdr:colOff>9525</xdr:colOff>
                <xdr:row>19</xdr:row>
                <xdr:rowOff>190500</xdr:rowOff>
              </from>
              <to>
                <xdr:col>22</xdr:col>
                <xdr:colOff>38100</xdr:colOff>
                <xdr:row>21</xdr:row>
                <xdr:rowOff>19050</xdr:rowOff>
              </to>
            </anchor>
          </controlPr>
        </control>
      </mc:Choice>
      <mc:Fallback>
        <control shapeId="6357" r:id="rId162" name="ComboBox2"/>
      </mc:Fallback>
    </mc:AlternateContent>
    <mc:AlternateContent xmlns:mc="http://schemas.openxmlformats.org/markup-compatibility/2006">
      <mc:Choice Requires="x14">
        <control shapeId="6358" r:id="rId164" name="ComboBox3">
          <controlPr defaultSize="0" autoLine="0" autoPict="0" linkedCell="D29" listFillRange="Territory" r:id="rId16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10</xdr:col>
                <xdr:colOff>0</xdr:colOff>
                <xdr:row>29</xdr:row>
                <xdr:rowOff>19050</xdr:rowOff>
              </to>
            </anchor>
          </controlPr>
        </control>
      </mc:Choice>
      <mc:Fallback>
        <control shapeId="6358" r:id="rId164" name="ComboBox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pageSetUpPr fitToPage="1"/>
  </sheetPr>
  <dimension ref="A1:AN807"/>
  <sheetViews>
    <sheetView zoomScale="80" zoomScaleNormal="80" workbookViewId="0">
      <selection activeCell="C89" sqref="C89"/>
    </sheetView>
  </sheetViews>
  <sheetFormatPr defaultColWidth="9.140625" defaultRowHeight="16.5" x14ac:dyDescent="0.25"/>
  <cols>
    <col min="1" max="2" width="9.140625" style="12"/>
    <col min="3" max="3" width="12.140625" style="12" customWidth="1"/>
    <col min="4" max="4" width="13.85546875" style="12" customWidth="1"/>
    <col min="5" max="5" width="0.85546875" style="12" customWidth="1"/>
    <col min="6" max="6" width="11.28515625" style="12" customWidth="1"/>
    <col min="7" max="7" width="0.85546875" style="12" customWidth="1"/>
    <col min="8" max="8" width="10.28515625" style="12" customWidth="1"/>
    <col min="9" max="10" width="0.85546875" style="12" customWidth="1"/>
    <col min="11" max="11" width="13.28515625" style="12" customWidth="1"/>
    <col min="12" max="12" width="0.85546875" style="12" customWidth="1"/>
    <col min="13" max="13" width="11.7109375" style="12" customWidth="1"/>
    <col min="14" max="14" width="0.85546875" style="12" customWidth="1"/>
    <col min="15" max="15" width="10" style="12" customWidth="1"/>
    <col min="16" max="17" width="0.85546875" style="12" customWidth="1"/>
    <col min="18" max="18" width="13.28515625" style="12" customWidth="1"/>
    <col min="19" max="19" width="0.85546875" style="12" customWidth="1"/>
    <col min="20" max="20" width="13.28515625" style="12" customWidth="1"/>
    <col min="21" max="21" width="0.85546875" style="12" customWidth="1"/>
    <col min="22" max="22" width="13.28515625" style="12" customWidth="1"/>
    <col min="23" max="23" width="1.28515625" style="12" customWidth="1"/>
    <col min="24" max="24" width="9.140625" style="111"/>
    <col min="25" max="40" width="9.140625" style="24"/>
    <col min="41" max="16384" width="9.140625" style="12"/>
  </cols>
  <sheetData>
    <row r="1" spans="1:40" ht="20.25" x14ac:dyDescent="0.25">
      <c r="A1" s="13"/>
      <c r="B1" s="379" t="s">
        <v>207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104"/>
      <c r="X1" s="105"/>
      <c r="Y1" s="106"/>
      <c r="Z1" s="106"/>
      <c r="AA1" s="106"/>
      <c r="AB1" s="106"/>
      <c r="AC1" s="106"/>
      <c r="AD1" s="106"/>
      <c r="AE1" s="106"/>
      <c r="AF1" s="106"/>
      <c r="AG1" s="106"/>
      <c r="AH1" s="106"/>
    </row>
    <row r="2" spans="1:40" ht="21.75" customHeight="1" x14ac:dyDescent="0.25">
      <c r="A2" s="15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5"/>
      <c r="S2" s="75"/>
      <c r="T2" s="75"/>
      <c r="U2" s="75"/>
      <c r="V2" s="75"/>
      <c r="W2" s="75"/>
      <c r="X2" s="107"/>
    </row>
    <row r="3" spans="1:40" ht="16.5" customHeight="1" x14ac:dyDescent="0.25">
      <c r="A3" s="15"/>
      <c r="B3" s="77"/>
      <c r="C3" s="38" t="s">
        <v>1015</v>
      </c>
      <c r="D3" s="239" t="str">
        <f>IF(PNP&lt;&gt;"",PNP,"")</f>
        <v/>
      </c>
      <c r="E3" s="238"/>
      <c r="F3" s="237"/>
      <c r="G3" s="237"/>
      <c r="H3" s="237"/>
      <c r="I3" s="237"/>
      <c r="J3" s="237"/>
      <c r="K3" s="237"/>
      <c r="L3" s="237"/>
      <c r="M3" s="237"/>
      <c r="O3" s="38" t="s">
        <v>102</v>
      </c>
      <c r="P3" s="77"/>
      <c r="Q3" s="77"/>
      <c r="R3" s="380" t="str">
        <f xml:space="preserve"> IF(pd_title&lt;&gt;"",pd_title,"")</f>
        <v/>
      </c>
      <c r="S3" s="381"/>
      <c r="T3" s="75"/>
      <c r="U3" s="75"/>
      <c r="V3" s="75"/>
      <c r="W3" s="75"/>
      <c r="X3" s="107"/>
    </row>
    <row r="4" spans="1:40" s="63" customFormat="1" ht="5.0999999999999996" customHeight="1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5"/>
      <c r="X4" s="108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</row>
    <row r="5" spans="1:40" ht="16.149999999999999" customHeight="1" x14ac:dyDescent="0.25">
      <c r="A5" s="15"/>
      <c r="B5" s="75"/>
      <c r="C5" s="38" t="s">
        <v>103</v>
      </c>
      <c r="D5" s="385" t="str">
        <f xml:space="preserve"> IF(pd_name &lt;&gt;"",pd_name,"")</f>
        <v/>
      </c>
      <c r="E5" s="386"/>
      <c r="F5" s="386"/>
      <c r="G5" s="386"/>
      <c r="H5" s="386"/>
      <c r="I5" s="386"/>
      <c r="J5" s="387"/>
      <c r="K5" s="75"/>
      <c r="L5" s="75"/>
      <c r="M5" s="38" t="s">
        <v>104</v>
      </c>
      <c r="N5" s="382" t="str">
        <f xml:space="preserve"> IF(pd_surname&lt;&gt;"",pd_surname,"")</f>
        <v/>
      </c>
      <c r="O5" s="383"/>
      <c r="P5" s="383"/>
      <c r="Q5" s="383"/>
      <c r="R5" s="383"/>
      <c r="S5" s="383"/>
      <c r="T5" s="384"/>
      <c r="U5" s="75"/>
      <c r="V5" s="75"/>
      <c r="W5" s="75"/>
      <c r="X5" s="107"/>
    </row>
    <row r="6" spans="1:40" ht="5.0999999999999996" customHeight="1" thickBot="1" x14ac:dyDescent="0.3">
      <c r="A6" s="25"/>
      <c r="B6" s="26"/>
      <c r="C6" s="27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107"/>
    </row>
    <row r="7" spans="1:40" ht="9.9499999999999993" customHeight="1" x14ac:dyDescent="0.25">
      <c r="A7" s="15"/>
      <c r="B7" s="75"/>
      <c r="C7" s="38"/>
      <c r="D7" s="20"/>
      <c r="E7" s="20"/>
      <c r="F7" s="20"/>
      <c r="G7" s="20"/>
      <c r="H7" s="20"/>
      <c r="I7" s="75"/>
      <c r="J7" s="75"/>
      <c r="K7" s="75"/>
      <c r="L7" s="75"/>
      <c r="M7" s="38"/>
      <c r="N7" s="20"/>
      <c r="O7" s="20"/>
      <c r="P7" s="20"/>
      <c r="Q7" s="20"/>
      <c r="R7" s="20"/>
      <c r="S7" s="20"/>
      <c r="T7" s="20"/>
      <c r="U7" s="75"/>
      <c r="V7" s="75"/>
      <c r="W7" s="75"/>
      <c r="X7" s="107"/>
    </row>
    <row r="8" spans="1:40" ht="16.149999999999999" customHeight="1" x14ac:dyDescent="0.25">
      <c r="A8" s="15"/>
      <c r="B8" s="75"/>
      <c r="C8" s="38" t="s">
        <v>109</v>
      </c>
      <c r="D8" s="397" t="s">
        <v>1119</v>
      </c>
      <c r="E8" s="397"/>
      <c r="F8" s="397"/>
      <c r="G8" s="397"/>
      <c r="H8" s="397"/>
      <c r="I8" s="397"/>
      <c r="J8" s="397"/>
      <c r="K8" s="20"/>
      <c r="L8" s="20"/>
      <c r="M8" s="20"/>
      <c r="N8" s="20"/>
      <c r="O8" s="20"/>
      <c r="P8" s="20"/>
      <c r="Q8" s="20"/>
      <c r="R8" s="20"/>
      <c r="S8" s="20"/>
      <c r="T8" s="20"/>
      <c r="U8" s="75"/>
      <c r="V8" s="75"/>
      <c r="W8" s="75"/>
      <c r="X8" s="107"/>
    </row>
    <row r="9" spans="1:40" ht="5.0999999999999996" customHeight="1" x14ac:dyDescent="0.25">
      <c r="A9" s="15"/>
      <c r="B9" s="75"/>
      <c r="C9" s="38"/>
      <c r="D9" s="20"/>
      <c r="E9" s="20"/>
      <c r="F9" s="20"/>
      <c r="G9" s="20"/>
      <c r="H9" s="20"/>
      <c r="I9" s="75"/>
      <c r="J9" s="75"/>
      <c r="K9" s="75"/>
      <c r="L9" s="75"/>
      <c r="M9" s="38"/>
      <c r="N9" s="20"/>
      <c r="O9" s="20"/>
      <c r="P9" s="20"/>
      <c r="Q9" s="20"/>
      <c r="R9" s="20"/>
      <c r="S9" s="20"/>
      <c r="T9" s="20"/>
      <c r="U9" s="75"/>
      <c r="V9" s="75"/>
      <c r="W9" s="75"/>
      <c r="X9" s="107"/>
    </row>
    <row r="10" spans="1:40" ht="3.95" customHeight="1" x14ac:dyDescent="0.25">
      <c r="A10" s="1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107"/>
    </row>
    <row r="11" spans="1:40" ht="16.5" customHeight="1" x14ac:dyDescent="0.25">
      <c r="A11" s="15"/>
      <c r="B11" s="38"/>
      <c r="C11" s="38" t="s">
        <v>451</v>
      </c>
      <c r="D11" s="149"/>
      <c r="E11" s="90"/>
      <c r="F11" s="90"/>
      <c r="G11" s="90"/>
      <c r="H11" s="38" t="s">
        <v>208</v>
      </c>
      <c r="I11" s="90"/>
      <c r="J11" s="91"/>
      <c r="K11" s="278"/>
      <c r="L11" s="279"/>
      <c r="M11" s="280"/>
      <c r="N11" s="90"/>
      <c r="O11" s="90"/>
      <c r="P11" s="90"/>
      <c r="Q11" s="90"/>
      <c r="R11" s="90"/>
      <c r="S11" s="74"/>
      <c r="T11" s="92"/>
      <c r="U11" s="75"/>
      <c r="V11" s="75"/>
      <c r="W11" s="75"/>
      <c r="X11" s="107"/>
    </row>
    <row r="12" spans="1:40" ht="3.75" customHeight="1" x14ac:dyDescent="0.25">
      <c r="A12" s="1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107"/>
    </row>
    <row r="13" spans="1:40" ht="5.0999999999999996" customHeight="1" x14ac:dyDescent="0.25">
      <c r="A13" s="15"/>
      <c r="B13" s="90"/>
      <c r="C13" s="90"/>
      <c r="D13" s="90"/>
      <c r="E13" s="74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107"/>
    </row>
    <row r="14" spans="1:40" ht="3.75" customHeight="1" x14ac:dyDescent="0.25">
      <c r="A14" s="1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107"/>
    </row>
    <row r="15" spans="1:40" ht="16.5" customHeight="1" x14ac:dyDescent="0.25">
      <c r="A15" s="15"/>
      <c r="B15" s="75"/>
      <c r="C15" s="38" t="s">
        <v>106</v>
      </c>
      <c r="D15" s="81"/>
      <c r="E15" s="90"/>
      <c r="F15" s="90"/>
      <c r="G15" s="90"/>
      <c r="H15" s="22" t="s">
        <v>107</v>
      </c>
      <c r="I15" s="38"/>
      <c r="J15" s="90"/>
      <c r="K15" s="303" t="s">
        <v>1119</v>
      </c>
      <c r="L15" s="303"/>
      <c r="M15" s="303"/>
      <c r="N15" s="303"/>
      <c r="O15" s="303"/>
      <c r="P15" s="303"/>
      <c r="Q15" s="303"/>
      <c r="R15" s="303"/>
      <c r="S15" s="75"/>
      <c r="U15" s="75"/>
      <c r="W15" s="75"/>
      <c r="X15" s="107"/>
    </row>
    <row r="16" spans="1:40" ht="10.5" customHeight="1" x14ac:dyDescent="0.25">
      <c r="A16" s="15"/>
      <c r="B16" s="75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75"/>
      <c r="X16" s="107"/>
    </row>
    <row r="17" spans="1:24" ht="16.5" customHeight="1" x14ac:dyDescent="0.25">
      <c r="A17" s="15"/>
      <c r="B17" s="75"/>
      <c r="C17" s="38" t="s">
        <v>904</v>
      </c>
      <c r="D17" s="297"/>
      <c r="E17" s="298"/>
      <c r="F17" s="298"/>
      <c r="G17" s="298"/>
      <c r="H17" s="298"/>
      <c r="I17" s="298"/>
      <c r="J17" s="299"/>
      <c r="K17" s="141"/>
      <c r="L17" s="141"/>
      <c r="M17" s="141"/>
      <c r="N17" s="141"/>
      <c r="O17" s="141"/>
      <c r="P17" s="141"/>
      <c r="Q17" s="141"/>
      <c r="R17" s="141"/>
      <c r="S17" s="141"/>
      <c r="T17" s="265" t="s">
        <v>108</v>
      </c>
      <c r="U17" s="141"/>
      <c r="V17" s="82"/>
      <c r="W17" s="75"/>
      <c r="X17" s="107"/>
    </row>
    <row r="18" spans="1:24" ht="11.25" customHeight="1" thickBot="1" x14ac:dyDescent="0.3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107"/>
    </row>
    <row r="19" spans="1:24" ht="7.5" customHeight="1" x14ac:dyDescent="0.25">
      <c r="A19" s="15"/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07"/>
    </row>
    <row r="20" spans="1:24" x14ac:dyDescent="0.25">
      <c r="A20" s="15"/>
      <c r="B20" s="75"/>
      <c r="C20" s="92" t="s">
        <v>209</v>
      </c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107"/>
    </row>
    <row r="21" spans="1:24" ht="3.95" customHeight="1" x14ac:dyDescent="0.25">
      <c r="A21" s="15"/>
      <c r="B21" s="75"/>
      <c r="C21" s="97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107"/>
    </row>
    <row r="22" spans="1:24" x14ac:dyDescent="0.25">
      <c r="A22" s="15"/>
      <c r="B22" s="75"/>
      <c r="C22" s="38" t="s">
        <v>210</v>
      </c>
      <c r="D22" s="388"/>
      <c r="E22" s="389"/>
      <c r="F22" s="389"/>
      <c r="G22" s="389"/>
      <c r="H22" s="389"/>
      <c r="I22" s="389"/>
      <c r="J22" s="389"/>
      <c r="K22" s="389"/>
      <c r="L22" s="389"/>
      <c r="M22" s="389"/>
      <c r="N22" s="389"/>
      <c r="O22" s="389"/>
      <c r="P22" s="389"/>
      <c r="Q22" s="389"/>
      <c r="R22" s="389"/>
      <c r="S22" s="389"/>
      <c r="T22" s="389"/>
      <c r="U22" s="389"/>
      <c r="V22" s="390"/>
      <c r="W22" s="75"/>
      <c r="X22" s="107"/>
    </row>
    <row r="23" spans="1:24" ht="3.95" customHeight="1" x14ac:dyDescent="0.25">
      <c r="A23" s="1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107"/>
    </row>
    <row r="24" spans="1:24" x14ac:dyDescent="0.25">
      <c r="A24" s="15"/>
      <c r="B24" s="75"/>
      <c r="C24" s="38" t="s">
        <v>211</v>
      </c>
      <c r="D24" s="388"/>
      <c r="E24" s="389"/>
      <c r="F24" s="389"/>
      <c r="G24" s="389"/>
      <c r="H24" s="389"/>
      <c r="I24" s="389"/>
      <c r="J24" s="389"/>
      <c r="K24" s="389"/>
      <c r="L24" s="389"/>
      <c r="M24" s="389"/>
      <c r="N24" s="389"/>
      <c r="O24" s="389"/>
      <c r="P24" s="389"/>
      <c r="Q24" s="389"/>
      <c r="R24" s="389"/>
      <c r="S24" s="389"/>
      <c r="T24" s="389"/>
      <c r="U24" s="389"/>
      <c r="V24" s="390"/>
      <c r="W24" s="75"/>
      <c r="X24" s="107"/>
    </row>
    <row r="25" spans="1:24" ht="3.95" customHeight="1" x14ac:dyDescent="0.25">
      <c r="A25" s="1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107"/>
    </row>
    <row r="26" spans="1:24" x14ac:dyDescent="0.25">
      <c r="A26" s="15"/>
      <c r="B26" s="75"/>
      <c r="C26" s="38" t="s">
        <v>212</v>
      </c>
      <c r="D26" s="388"/>
      <c r="E26" s="389"/>
      <c r="F26" s="389"/>
      <c r="G26" s="389"/>
      <c r="H26" s="389"/>
      <c r="I26" s="389"/>
      <c r="J26" s="389"/>
      <c r="K26" s="389"/>
      <c r="L26" s="389"/>
      <c r="M26" s="389"/>
      <c r="N26" s="389"/>
      <c r="O26" s="389"/>
      <c r="P26" s="389"/>
      <c r="Q26" s="389"/>
      <c r="R26" s="389"/>
      <c r="S26" s="389"/>
      <c r="T26" s="389"/>
      <c r="U26" s="389"/>
      <c r="V26" s="390"/>
      <c r="W26" s="75"/>
      <c r="X26" s="107"/>
    </row>
    <row r="27" spans="1:24" ht="3.95" customHeight="1" x14ac:dyDescent="0.25">
      <c r="A27" s="1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107"/>
    </row>
    <row r="28" spans="1:24" x14ac:dyDescent="0.25">
      <c r="A28" s="15"/>
      <c r="B28" s="75"/>
      <c r="C28" s="38" t="s">
        <v>213</v>
      </c>
      <c r="D28" s="388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89"/>
      <c r="T28" s="389"/>
      <c r="U28" s="389"/>
      <c r="V28" s="390"/>
      <c r="W28" s="75"/>
      <c r="X28" s="107"/>
    </row>
    <row r="29" spans="1:24" ht="3.95" customHeight="1" x14ac:dyDescent="0.25">
      <c r="A29" s="1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107"/>
    </row>
    <row r="30" spans="1:24" x14ac:dyDescent="0.25">
      <c r="A30" s="15"/>
      <c r="B30" s="75"/>
      <c r="C30" s="38" t="s">
        <v>1035</v>
      </c>
      <c r="D30" s="391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2"/>
      <c r="T30" s="392"/>
      <c r="U30" s="392"/>
      <c r="V30" s="393"/>
      <c r="W30" s="75"/>
      <c r="X30" s="107"/>
    </row>
    <row r="31" spans="1:24" ht="124.5" customHeight="1" x14ac:dyDescent="0.25">
      <c r="A31" s="15"/>
      <c r="B31" s="75"/>
      <c r="C31" s="38"/>
      <c r="D31" s="394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5"/>
      <c r="T31" s="395"/>
      <c r="U31" s="395"/>
      <c r="V31" s="396"/>
      <c r="W31" s="75"/>
      <c r="X31" s="107"/>
    </row>
    <row r="32" spans="1:24" ht="3.95" customHeight="1" x14ac:dyDescent="0.25">
      <c r="A32" s="1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107"/>
    </row>
    <row r="33" spans="1:40" x14ac:dyDescent="0.25">
      <c r="A33" s="15"/>
      <c r="B33" s="75"/>
      <c r="C33" s="38" t="s">
        <v>214</v>
      </c>
      <c r="D33" s="388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89"/>
      <c r="T33" s="389"/>
      <c r="U33" s="389"/>
      <c r="V33" s="390"/>
      <c r="W33" s="75"/>
      <c r="X33" s="107"/>
    </row>
    <row r="34" spans="1:40" ht="3.95" customHeight="1" x14ac:dyDescent="0.25">
      <c r="A34" s="1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107"/>
    </row>
    <row r="35" spans="1:40" ht="16.5" hidden="1" customHeight="1" x14ac:dyDescent="0.25">
      <c r="A35" s="15"/>
      <c r="B35" s="75"/>
      <c r="C35" s="38" t="s">
        <v>215</v>
      </c>
      <c r="D35" s="398"/>
      <c r="E35" s="399"/>
      <c r="F35" s="400"/>
      <c r="G35" s="75"/>
      <c r="H35" s="98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107"/>
    </row>
    <row r="36" spans="1:40" ht="3.95" hidden="1" customHeight="1" x14ac:dyDescent="0.25">
      <c r="A36" s="1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107"/>
    </row>
    <row r="37" spans="1:40" ht="152.25" customHeight="1" x14ac:dyDescent="0.25">
      <c r="A37" s="15"/>
      <c r="B37" s="401" t="s">
        <v>917</v>
      </c>
      <c r="C37" s="401"/>
      <c r="D37" s="402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403"/>
      <c r="U37" s="403"/>
      <c r="V37" s="404"/>
      <c r="W37" s="75"/>
      <c r="X37" s="107"/>
    </row>
    <row r="38" spans="1:40" ht="9.75" customHeight="1" thickBot="1" x14ac:dyDescent="0.3">
      <c r="A38" s="25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107"/>
    </row>
    <row r="39" spans="1:40" ht="3.95" customHeight="1" x14ac:dyDescent="0.25">
      <c r="A39" s="1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107"/>
    </row>
    <row r="40" spans="1:40" x14ac:dyDescent="0.25">
      <c r="A40" s="15"/>
      <c r="B40" s="75"/>
      <c r="C40" s="38" t="s">
        <v>216</v>
      </c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107"/>
    </row>
    <row r="41" spans="1:40" ht="3.95" customHeight="1" x14ac:dyDescent="0.25">
      <c r="A41" s="1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107"/>
    </row>
    <row r="42" spans="1:40" x14ac:dyDescent="0.25">
      <c r="A42" s="15"/>
      <c r="B42" s="75"/>
      <c r="C42" s="38" t="s">
        <v>217</v>
      </c>
      <c r="D42" s="278"/>
      <c r="E42" s="279"/>
      <c r="F42" s="280"/>
      <c r="G42" s="75"/>
      <c r="H42" s="75"/>
      <c r="I42" s="75"/>
      <c r="J42" s="75"/>
      <c r="K42" s="38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75"/>
      <c r="X42" s="107"/>
    </row>
    <row r="43" spans="1:40" ht="3.95" customHeight="1" x14ac:dyDescent="0.25">
      <c r="A43" s="1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107"/>
    </row>
    <row r="44" spans="1:40" s="79" customFormat="1" ht="21" x14ac:dyDescent="0.25">
      <c r="A44" s="99"/>
      <c r="B44" s="38"/>
      <c r="C44" s="38" t="s">
        <v>218</v>
      </c>
      <c r="D44" s="89"/>
      <c r="E44" s="56"/>
      <c r="F44" s="100"/>
      <c r="G44" s="100"/>
      <c r="H44" s="100"/>
      <c r="I44" s="100"/>
      <c r="J44" s="100"/>
      <c r="K44" s="101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10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</row>
    <row r="45" spans="1:40" ht="3.95" customHeight="1" x14ac:dyDescent="0.25">
      <c r="A45" s="1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107"/>
    </row>
    <row r="46" spans="1:40" x14ac:dyDescent="0.25">
      <c r="A46" s="15"/>
      <c r="B46" s="75"/>
      <c r="C46" s="38" t="s">
        <v>112</v>
      </c>
      <c r="D46" s="284"/>
      <c r="E46" s="285"/>
      <c r="F46" s="285"/>
      <c r="G46" s="285"/>
      <c r="H46" s="285"/>
      <c r="I46" s="285"/>
      <c r="J46" s="285"/>
      <c r="K46" s="285"/>
      <c r="L46" s="285"/>
      <c r="M46" s="286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107"/>
    </row>
    <row r="47" spans="1:40" ht="3.95" customHeight="1" x14ac:dyDescent="0.25">
      <c r="A47" s="1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107"/>
    </row>
    <row r="48" spans="1:40" ht="16.5" customHeight="1" x14ac:dyDescent="0.25">
      <c r="A48" s="15"/>
      <c r="B48" s="75"/>
      <c r="C48" s="38" t="s">
        <v>219</v>
      </c>
      <c r="D48" s="284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6"/>
      <c r="W48" s="75"/>
      <c r="X48" s="107"/>
    </row>
    <row r="49" spans="1:40" ht="9" customHeight="1" x14ac:dyDescent="0.25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3"/>
      <c r="X49" s="107"/>
    </row>
    <row r="50" spans="1:40" ht="3.95" customHeight="1" x14ac:dyDescent="0.25">
      <c r="A50" s="15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07"/>
    </row>
    <row r="51" spans="1:40" ht="8.25" customHeight="1" x14ac:dyDescent="0.25">
      <c r="A51" s="15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07"/>
    </row>
    <row r="52" spans="1:40" ht="15" customHeight="1" x14ac:dyDescent="0.25">
      <c r="A52" s="15"/>
      <c r="B52" s="141"/>
      <c r="C52" s="38" t="s">
        <v>135</v>
      </c>
      <c r="D52" s="287" t="s">
        <v>136</v>
      </c>
      <c r="E52" s="287"/>
      <c r="F52" s="287"/>
      <c r="G52" s="287"/>
      <c r="H52" s="287"/>
      <c r="I52" s="141"/>
      <c r="J52" s="29"/>
      <c r="K52" s="287" t="s">
        <v>137</v>
      </c>
      <c r="L52" s="287"/>
      <c r="M52" s="287"/>
      <c r="N52" s="287"/>
      <c r="O52" s="287"/>
      <c r="P52" s="141"/>
      <c r="Q52" s="29"/>
      <c r="R52" s="287" t="s">
        <v>138</v>
      </c>
      <c r="S52" s="287"/>
      <c r="T52" s="287"/>
      <c r="U52" s="287"/>
      <c r="V52" s="287"/>
      <c r="W52" s="141"/>
      <c r="X52" s="107"/>
    </row>
    <row r="53" spans="1:40" ht="3.95" customHeight="1" x14ac:dyDescent="0.25">
      <c r="A53" s="15"/>
      <c r="B53" s="243"/>
      <c r="C53" s="243"/>
      <c r="D53" s="243"/>
      <c r="E53" s="243"/>
      <c r="F53" s="243"/>
      <c r="G53" s="243"/>
      <c r="H53" s="243"/>
      <c r="I53" s="243"/>
      <c r="J53" s="29"/>
      <c r="K53" s="243"/>
      <c r="L53" s="243"/>
      <c r="M53" s="243"/>
      <c r="N53" s="243"/>
      <c r="O53" s="243"/>
      <c r="P53" s="243"/>
      <c r="Q53" s="29"/>
      <c r="R53" s="243"/>
      <c r="S53" s="243"/>
      <c r="T53" s="243"/>
      <c r="U53" s="243"/>
      <c r="V53" s="243"/>
      <c r="W53" s="243"/>
      <c r="X53" s="102"/>
    </row>
    <row r="54" spans="1:40" ht="16.5" customHeight="1" x14ac:dyDescent="0.25">
      <c r="A54" s="15"/>
      <c r="B54" s="243"/>
      <c r="C54" s="38" t="s">
        <v>1054</v>
      </c>
      <c r="D54" s="281">
        <f>Assessment!D99</f>
        <v>0</v>
      </c>
      <c r="E54" s="282"/>
      <c r="F54" s="283"/>
      <c r="G54" s="243"/>
      <c r="H54" s="243"/>
      <c r="I54" s="243"/>
      <c r="J54" s="29"/>
      <c r="K54" s="281">
        <f>Assessment!K99</f>
        <v>0</v>
      </c>
      <c r="L54" s="282"/>
      <c r="M54" s="283"/>
      <c r="N54" s="243"/>
      <c r="O54" s="243"/>
      <c r="P54" s="243"/>
      <c r="Q54" s="29"/>
      <c r="R54" s="281">
        <f>Assessment!R99</f>
        <v>0</v>
      </c>
      <c r="S54" s="282"/>
      <c r="T54" s="283"/>
      <c r="U54" s="243"/>
      <c r="V54" s="243"/>
      <c r="W54" s="243"/>
      <c r="X54" s="107"/>
    </row>
    <row r="55" spans="1:40" ht="5.0999999999999996" customHeight="1" x14ac:dyDescent="0.25">
      <c r="A55" s="15"/>
      <c r="B55" s="243"/>
      <c r="C55" s="243"/>
      <c r="D55" s="243"/>
      <c r="E55" s="243"/>
      <c r="F55" s="243"/>
      <c r="G55" s="243"/>
      <c r="H55" s="243"/>
      <c r="I55" s="243"/>
      <c r="J55" s="29"/>
      <c r="K55" s="243"/>
      <c r="L55" s="243"/>
      <c r="M55" s="243"/>
      <c r="N55" s="243"/>
      <c r="O55" s="243"/>
      <c r="P55" s="243"/>
      <c r="Q55" s="29"/>
      <c r="R55" s="243"/>
      <c r="S55" s="243"/>
      <c r="T55" s="243"/>
      <c r="U55" s="243"/>
      <c r="V55" s="243"/>
      <c r="W55" s="243"/>
      <c r="X55" s="107"/>
    </row>
    <row r="56" spans="1:40" ht="16.5" customHeight="1" x14ac:dyDescent="0.25">
      <c r="A56" s="15"/>
      <c r="B56" s="243"/>
      <c r="C56" s="38" t="s">
        <v>1055</v>
      </c>
      <c r="D56" s="278"/>
      <c r="E56" s="279"/>
      <c r="F56" s="280"/>
      <c r="G56" s="243"/>
      <c r="H56" s="243"/>
      <c r="I56" s="243"/>
      <c r="J56" s="29"/>
      <c r="K56" s="278"/>
      <c r="L56" s="279"/>
      <c r="M56" s="280"/>
      <c r="N56" s="243"/>
      <c r="O56" s="243"/>
      <c r="P56" s="243"/>
      <c r="Q56" s="29"/>
      <c r="R56" s="278"/>
      <c r="S56" s="279"/>
      <c r="T56" s="280"/>
      <c r="U56" s="243"/>
      <c r="V56" s="243"/>
      <c r="W56" s="243"/>
      <c r="X56" s="107"/>
    </row>
    <row r="57" spans="1:40" ht="3.95" customHeight="1" x14ac:dyDescent="0.25">
      <c r="A57" s="15"/>
      <c r="B57" s="141"/>
      <c r="C57" s="141"/>
      <c r="D57" s="141"/>
      <c r="E57" s="141"/>
      <c r="F57" s="141"/>
      <c r="G57" s="141"/>
      <c r="H57" s="141"/>
      <c r="I57" s="141"/>
      <c r="J57" s="29"/>
      <c r="K57" s="141"/>
      <c r="L57" s="141"/>
      <c r="M57" s="141"/>
      <c r="N57" s="141"/>
      <c r="O57" s="141"/>
      <c r="P57" s="141"/>
      <c r="Q57" s="29"/>
      <c r="R57" s="141"/>
      <c r="S57" s="141"/>
      <c r="T57" s="141"/>
      <c r="U57" s="141"/>
      <c r="V57" s="141"/>
      <c r="W57" s="141"/>
      <c r="X57" s="107"/>
    </row>
    <row r="58" spans="1:40" x14ac:dyDescent="0.25">
      <c r="A58" s="15"/>
      <c r="B58" s="141"/>
      <c r="C58" s="38" t="s">
        <v>106</v>
      </c>
      <c r="D58" s="373" t="str">
        <f>IF(wd_1loc&lt;&gt;"",wd_1loc,"")</f>
        <v/>
      </c>
      <c r="E58" s="374"/>
      <c r="F58" s="374"/>
      <c r="G58" s="374"/>
      <c r="H58" s="375"/>
      <c r="I58" s="141"/>
      <c r="J58" s="29"/>
      <c r="K58" s="373" t="str">
        <f>IF(wd_2loc&lt;&gt;"",wd_2loc,"")</f>
        <v/>
      </c>
      <c r="L58" s="374"/>
      <c r="M58" s="374"/>
      <c r="N58" s="374"/>
      <c r="O58" s="375"/>
      <c r="P58" s="141"/>
      <c r="Q58" s="29"/>
      <c r="R58" s="373" t="str">
        <f>IF(wd_3loc&lt;&gt;"",wd_3loc,"")</f>
        <v/>
      </c>
      <c r="S58" s="374"/>
      <c r="T58" s="374"/>
      <c r="U58" s="374"/>
      <c r="V58" s="375"/>
      <c r="W58" s="141"/>
      <c r="X58" s="107"/>
    </row>
    <row r="59" spans="1:40" ht="3.95" customHeight="1" x14ac:dyDescent="0.25">
      <c r="A59" s="15"/>
      <c r="B59" s="141"/>
      <c r="C59" s="141"/>
      <c r="D59" s="141"/>
      <c r="E59" s="141"/>
      <c r="F59" s="141"/>
      <c r="G59" s="141"/>
      <c r="H59" s="141"/>
      <c r="I59" s="141"/>
      <c r="J59" s="29"/>
      <c r="K59" s="141"/>
      <c r="L59" s="141"/>
      <c r="M59" s="141"/>
      <c r="N59" s="141"/>
      <c r="O59" s="141"/>
      <c r="P59" s="141"/>
      <c r="Q59" s="29"/>
      <c r="R59" s="141"/>
      <c r="S59" s="141"/>
      <c r="T59" s="141"/>
      <c r="U59" s="141"/>
      <c r="V59" s="141"/>
      <c r="W59" s="141"/>
      <c r="X59" s="107"/>
    </row>
    <row r="60" spans="1:40" x14ac:dyDescent="0.25">
      <c r="A60" s="15"/>
      <c r="B60" s="141"/>
      <c r="C60" s="38" t="s">
        <v>1002</v>
      </c>
      <c r="D60" s="376" t="str">
        <f>IF(wd_1tyoth&lt;&gt;"",wd_1tyoth,"")</f>
        <v/>
      </c>
      <c r="E60" s="377"/>
      <c r="F60" s="377"/>
      <c r="G60" s="377"/>
      <c r="H60" s="378"/>
      <c r="I60" s="141"/>
      <c r="J60" s="29"/>
      <c r="K60" s="376" t="str">
        <f>IF(wd_2tyoth&lt;&gt;"",wd_2tyoth,"")</f>
        <v/>
      </c>
      <c r="L60" s="377"/>
      <c r="M60" s="377"/>
      <c r="N60" s="377"/>
      <c r="O60" s="378"/>
      <c r="P60" s="141"/>
      <c r="Q60" s="29"/>
      <c r="R60" s="376" t="str">
        <f>IF(wd_3tyoth&lt;&gt;"",wd_3tyoth,"")</f>
        <v/>
      </c>
      <c r="S60" s="377"/>
      <c r="T60" s="377"/>
      <c r="U60" s="377"/>
      <c r="V60" s="378"/>
      <c r="W60" s="141"/>
      <c r="X60" s="107"/>
    </row>
    <row r="61" spans="1:40" ht="5.0999999999999996" customHeight="1" x14ac:dyDescent="0.25">
      <c r="A61" s="15"/>
      <c r="B61" s="141"/>
      <c r="C61" s="141"/>
      <c r="D61" s="141"/>
      <c r="E61" s="141"/>
      <c r="F61" s="141"/>
      <c r="G61" s="141"/>
      <c r="H61" s="141"/>
      <c r="I61" s="141"/>
      <c r="J61" s="29"/>
      <c r="K61" s="141"/>
      <c r="L61" s="141"/>
      <c r="M61" s="141"/>
      <c r="N61" s="141"/>
      <c r="O61" s="141"/>
      <c r="P61" s="141"/>
      <c r="Q61" s="29"/>
      <c r="R61" s="141"/>
      <c r="S61" s="141"/>
      <c r="T61" s="141"/>
      <c r="U61" s="141"/>
      <c r="V61" s="141"/>
      <c r="W61" s="141"/>
      <c r="X61" s="107"/>
    </row>
    <row r="62" spans="1:40" s="62" customFormat="1" ht="32.1" customHeight="1" x14ac:dyDescent="0.25">
      <c r="A62" s="93"/>
      <c r="B62" s="86"/>
      <c r="C62" s="94" t="s">
        <v>353</v>
      </c>
      <c r="D62" s="376" t="str">
        <f>IF(Wnd1Cat&lt;&gt;"",Wnd1Cat,"")</f>
        <v/>
      </c>
      <c r="E62" s="377"/>
      <c r="F62" s="377"/>
      <c r="G62" s="377"/>
      <c r="H62" s="378"/>
      <c r="I62" s="86"/>
      <c r="J62" s="87"/>
      <c r="K62" s="376" t="str">
        <f>IF(Wnd2Cat&lt;&gt;"",Wnd2Cat,"")</f>
        <v/>
      </c>
      <c r="L62" s="377"/>
      <c r="M62" s="377"/>
      <c r="N62" s="377"/>
      <c r="O62" s="378"/>
      <c r="P62" s="86"/>
      <c r="Q62" s="87"/>
      <c r="R62" s="376" t="str">
        <f>IF(Wnd3Cat&lt;&gt;"",Wnd3Cat,"")</f>
        <v/>
      </c>
      <c r="S62" s="377"/>
      <c r="T62" s="377"/>
      <c r="U62" s="377"/>
      <c r="V62" s="378"/>
      <c r="W62" s="86"/>
      <c r="X62" s="109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</row>
    <row r="63" spans="1:40" s="62" customFormat="1" ht="5.0999999999999996" customHeight="1" x14ac:dyDescent="0.25">
      <c r="A63" s="93"/>
      <c r="B63" s="86"/>
      <c r="C63" s="86"/>
      <c r="D63" s="86"/>
      <c r="E63" s="86"/>
      <c r="F63" s="86"/>
      <c r="G63" s="86"/>
      <c r="H63" s="86"/>
      <c r="I63" s="86"/>
      <c r="J63" s="87"/>
      <c r="K63" s="86"/>
      <c r="L63" s="86"/>
      <c r="M63" s="86"/>
      <c r="N63" s="86"/>
      <c r="O63" s="86"/>
      <c r="P63" s="86"/>
      <c r="Q63" s="87"/>
      <c r="R63" s="86"/>
      <c r="S63" s="86"/>
      <c r="T63" s="86"/>
      <c r="U63" s="86"/>
      <c r="V63" s="86"/>
      <c r="W63" s="86"/>
      <c r="X63" s="109"/>
      <c r="Y63" s="85"/>
      <c r="Z63" s="85"/>
      <c r="AA63" s="24"/>
      <c r="AB63" s="24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</row>
    <row r="64" spans="1:40" s="62" customFormat="1" ht="32.1" customHeight="1" x14ac:dyDescent="0.25">
      <c r="A64" s="93"/>
      <c r="B64" s="86"/>
      <c r="C64" s="94" t="s">
        <v>354</v>
      </c>
      <c r="D64" s="376" t="str">
        <f>IF(wd_1type&lt;&gt;"",wd_1type,"")</f>
        <v/>
      </c>
      <c r="E64" s="377"/>
      <c r="F64" s="377"/>
      <c r="G64" s="377"/>
      <c r="H64" s="378"/>
      <c r="I64" s="86"/>
      <c r="J64" s="87"/>
      <c r="K64" s="376" t="str">
        <f>IF(wd_2type&lt;&gt;"",wd_2type,"")</f>
        <v/>
      </c>
      <c r="L64" s="377"/>
      <c r="M64" s="377"/>
      <c r="N64" s="377"/>
      <c r="O64" s="378"/>
      <c r="P64" s="86"/>
      <c r="Q64" s="87"/>
      <c r="R64" s="376" t="str">
        <f>IF(wd_3type&lt;&gt;"",wd_3type,"")</f>
        <v/>
      </c>
      <c r="S64" s="377"/>
      <c r="T64" s="377"/>
      <c r="U64" s="377"/>
      <c r="V64" s="378"/>
      <c r="W64" s="86"/>
      <c r="X64" s="109"/>
      <c r="Y64" s="24"/>
      <c r="Z64" s="24"/>
      <c r="AA64" s="24"/>
      <c r="AB64" s="24"/>
      <c r="AC64" s="24"/>
      <c r="AD64" s="24"/>
      <c r="AE64" s="24"/>
      <c r="AF64" s="85"/>
      <c r="AG64" s="85"/>
      <c r="AH64" s="85"/>
      <c r="AI64" s="85"/>
      <c r="AJ64" s="85"/>
      <c r="AK64" s="85"/>
      <c r="AL64" s="85"/>
      <c r="AM64" s="85"/>
      <c r="AN64" s="85"/>
    </row>
    <row r="65" spans="1:40" s="62" customFormat="1" ht="5.0999999999999996" customHeight="1" x14ac:dyDescent="0.25">
      <c r="A65" s="93"/>
      <c r="B65" s="86"/>
      <c r="C65" s="86"/>
      <c r="D65" s="86"/>
      <c r="E65" s="86"/>
      <c r="F65" s="86"/>
      <c r="G65" s="86"/>
      <c r="H65" s="86"/>
      <c r="I65" s="86"/>
      <c r="J65" s="87"/>
      <c r="K65" s="86"/>
      <c r="L65" s="86"/>
      <c r="M65" s="86"/>
      <c r="N65" s="86"/>
      <c r="O65" s="86"/>
      <c r="P65" s="86"/>
      <c r="Q65" s="87"/>
      <c r="R65" s="86"/>
      <c r="S65" s="86"/>
      <c r="T65" s="86"/>
      <c r="U65" s="86"/>
      <c r="V65" s="86"/>
      <c r="W65" s="86"/>
      <c r="X65" s="109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</row>
    <row r="66" spans="1:40" s="62" customFormat="1" ht="32.1" customHeight="1" x14ac:dyDescent="0.25">
      <c r="A66" s="93"/>
      <c r="B66" s="86"/>
      <c r="C66" s="94" t="s">
        <v>355</v>
      </c>
      <c r="D66" s="376" t="str">
        <f>IF(wd_1tysub&lt;&gt;"",wd_1tysub,"")</f>
        <v/>
      </c>
      <c r="E66" s="377"/>
      <c r="F66" s="377"/>
      <c r="G66" s="377"/>
      <c r="H66" s="378"/>
      <c r="I66" s="86"/>
      <c r="J66" s="87"/>
      <c r="K66" s="376" t="str">
        <f>IF(wd_2tysub&lt;&gt;"",wd_2tysub,"")</f>
        <v/>
      </c>
      <c r="L66" s="377"/>
      <c r="M66" s="377"/>
      <c r="N66" s="377"/>
      <c r="O66" s="378"/>
      <c r="P66" s="86"/>
      <c r="Q66" s="87"/>
      <c r="R66" s="376" t="str">
        <f>IF(wd_3tysub&lt;&gt;"",wd_3tysub,"")</f>
        <v/>
      </c>
      <c r="S66" s="377"/>
      <c r="T66" s="377"/>
      <c r="U66" s="377"/>
      <c r="V66" s="378"/>
      <c r="W66" s="86"/>
      <c r="X66" s="109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</row>
    <row r="67" spans="1:40" ht="5.0999999999999996" customHeight="1" x14ac:dyDescent="0.25">
      <c r="A67" s="15"/>
      <c r="B67" s="141"/>
      <c r="C67" s="141"/>
      <c r="D67" s="141"/>
      <c r="E67" s="141"/>
      <c r="F67" s="141"/>
      <c r="G67" s="141"/>
      <c r="H67" s="141"/>
      <c r="I67" s="141"/>
      <c r="J67" s="29"/>
      <c r="K67" s="141"/>
      <c r="L67" s="141"/>
      <c r="M67" s="141"/>
      <c r="N67" s="141"/>
      <c r="O67" s="141"/>
      <c r="P67" s="141"/>
      <c r="Q67" s="29"/>
      <c r="R67" s="141"/>
      <c r="S67" s="141"/>
      <c r="T67" s="141"/>
      <c r="U67" s="141"/>
      <c r="V67" s="141"/>
      <c r="W67" s="141"/>
      <c r="X67" s="107"/>
    </row>
    <row r="68" spans="1:40" x14ac:dyDescent="0.25">
      <c r="A68" s="15"/>
      <c r="B68" s="141"/>
      <c r="C68" s="38" t="s">
        <v>142</v>
      </c>
      <c r="D68" s="294"/>
      <c r="E68" s="295"/>
      <c r="F68" s="295"/>
      <c r="G68" s="295"/>
      <c r="H68" s="296"/>
      <c r="I68" s="141"/>
      <c r="J68" s="29"/>
      <c r="K68" s="294"/>
      <c r="L68" s="295"/>
      <c r="M68" s="295"/>
      <c r="N68" s="295"/>
      <c r="O68" s="296"/>
      <c r="P68" s="141"/>
      <c r="Q68" s="29"/>
      <c r="R68" s="294"/>
      <c r="S68" s="295"/>
      <c r="T68" s="295"/>
      <c r="U68" s="295"/>
      <c r="V68" s="296"/>
      <c r="W68" s="141"/>
      <c r="X68" s="107"/>
    </row>
    <row r="69" spans="1:40" ht="3.95" customHeight="1" x14ac:dyDescent="0.25">
      <c r="A69" s="15"/>
      <c r="B69" s="141"/>
      <c r="C69" s="141"/>
      <c r="D69" s="141"/>
      <c r="E69" s="141"/>
      <c r="F69" s="141"/>
      <c r="G69" s="141"/>
      <c r="H69" s="141"/>
      <c r="I69" s="141"/>
      <c r="J69" s="29"/>
      <c r="K69" s="141"/>
      <c r="L69" s="141"/>
      <c r="M69" s="141"/>
      <c r="N69" s="141"/>
      <c r="O69" s="141"/>
      <c r="P69" s="141"/>
      <c r="Q69" s="29"/>
      <c r="R69" s="141"/>
      <c r="S69" s="141"/>
      <c r="T69" s="141"/>
      <c r="U69" s="141"/>
      <c r="V69" s="141"/>
      <c r="W69" s="141"/>
      <c r="X69" s="107"/>
    </row>
    <row r="70" spans="1:40" x14ac:dyDescent="0.25">
      <c r="A70" s="15"/>
      <c r="B70" s="141"/>
      <c r="C70" s="38" t="s">
        <v>143</v>
      </c>
      <c r="D70" s="294"/>
      <c r="E70" s="295"/>
      <c r="F70" s="296"/>
      <c r="G70" s="20"/>
      <c r="H70" s="20"/>
      <c r="I70" s="141"/>
      <c r="J70" s="29"/>
      <c r="K70" s="294"/>
      <c r="L70" s="295"/>
      <c r="M70" s="296"/>
      <c r="N70" s="20"/>
      <c r="O70" s="20"/>
      <c r="P70" s="141"/>
      <c r="Q70" s="29"/>
      <c r="R70" s="294"/>
      <c r="S70" s="295"/>
      <c r="T70" s="296"/>
      <c r="U70" s="20"/>
      <c r="V70" s="20"/>
      <c r="W70" s="141"/>
      <c r="X70" s="107"/>
    </row>
    <row r="71" spans="1:40" ht="3.95" customHeight="1" x14ac:dyDescent="0.25">
      <c r="A71" s="15"/>
      <c r="B71" s="141"/>
      <c r="C71" s="141"/>
      <c r="D71" s="141"/>
      <c r="E71" s="141"/>
      <c r="F71" s="141"/>
      <c r="G71" s="141"/>
      <c r="H71" s="141"/>
      <c r="I71" s="141"/>
      <c r="J71" s="29"/>
      <c r="K71" s="141"/>
      <c r="L71" s="141"/>
      <c r="M71" s="141"/>
      <c r="N71" s="141"/>
      <c r="O71" s="141"/>
      <c r="P71" s="141"/>
      <c r="Q71" s="29"/>
      <c r="R71" s="141"/>
      <c r="S71" s="141"/>
      <c r="T71" s="141"/>
      <c r="U71" s="141"/>
      <c r="V71" s="141"/>
      <c r="W71" s="141"/>
      <c r="X71" s="107"/>
    </row>
    <row r="72" spans="1:40" x14ac:dyDescent="0.25">
      <c r="A72" s="15"/>
      <c r="B72" s="141"/>
      <c r="C72" s="21" t="s">
        <v>144</v>
      </c>
      <c r="D72" s="83"/>
      <c r="E72" s="141"/>
      <c r="F72" s="83"/>
      <c r="G72" s="141"/>
      <c r="H72" s="83"/>
      <c r="I72" s="141"/>
      <c r="J72" s="29"/>
      <c r="K72" s="83"/>
      <c r="L72" s="141"/>
      <c r="M72" s="83"/>
      <c r="N72" s="141"/>
      <c r="O72" s="83"/>
      <c r="P72" s="141"/>
      <c r="Q72" s="29"/>
      <c r="R72" s="83"/>
      <c r="S72" s="141"/>
      <c r="T72" s="83"/>
      <c r="U72" s="141"/>
      <c r="V72" s="83"/>
      <c r="W72" s="141"/>
      <c r="X72" s="107"/>
    </row>
    <row r="73" spans="1:40" ht="3.95" customHeight="1" x14ac:dyDescent="0.25">
      <c r="A73" s="15"/>
      <c r="B73" s="141"/>
      <c r="C73" s="141"/>
      <c r="D73" s="141"/>
      <c r="E73" s="141"/>
      <c r="F73" s="141"/>
      <c r="G73" s="141"/>
      <c r="H73" s="141"/>
      <c r="I73" s="141"/>
      <c r="J73" s="29"/>
      <c r="K73" s="24"/>
      <c r="L73" s="141"/>
      <c r="M73" s="141"/>
      <c r="N73" s="141"/>
      <c r="O73" s="141"/>
      <c r="P73" s="141"/>
      <c r="Q73" s="29"/>
      <c r="R73" s="141"/>
      <c r="S73" s="141"/>
      <c r="T73" s="141"/>
      <c r="U73" s="141"/>
      <c r="V73" s="141"/>
      <c r="W73" s="141"/>
      <c r="X73" s="107"/>
    </row>
    <row r="74" spans="1:40" x14ac:dyDescent="0.25">
      <c r="A74" s="15"/>
      <c r="B74" s="141"/>
      <c r="C74" s="38" t="s">
        <v>145</v>
      </c>
      <c r="D74" s="83"/>
      <c r="E74" s="141"/>
      <c r="F74" s="288"/>
      <c r="G74" s="288"/>
      <c r="H74" s="288"/>
      <c r="I74" s="141"/>
      <c r="J74" s="29"/>
      <c r="K74" s="83"/>
      <c r="L74" s="141"/>
      <c r="M74" s="140"/>
      <c r="N74" s="141"/>
      <c r="O74" s="141"/>
      <c r="P74" s="141"/>
      <c r="Q74" s="29"/>
      <c r="R74" s="83"/>
      <c r="S74" s="141"/>
      <c r="T74" s="140"/>
      <c r="U74" s="141"/>
      <c r="V74" s="141"/>
      <c r="W74" s="141"/>
      <c r="X74" s="107"/>
    </row>
    <row r="75" spans="1:40" ht="3.95" customHeight="1" x14ac:dyDescent="0.25">
      <c r="A75" s="15"/>
      <c r="B75" s="141"/>
      <c r="C75" s="141"/>
      <c r="D75" s="141"/>
      <c r="E75" s="141"/>
      <c r="F75" s="288"/>
      <c r="G75" s="288"/>
      <c r="H75" s="288"/>
      <c r="I75" s="141"/>
      <c r="J75" s="29"/>
      <c r="K75" s="141"/>
      <c r="L75" s="141"/>
      <c r="M75" s="141"/>
      <c r="N75" s="141"/>
      <c r="O75" s="141"/>
      <c r="P75" s="141"/>
      <c r="Q75" s="29"/>
      <c r="R75" s="141"/>
      <c r="S75" s="141"/>
      <c r="T75" s="141"/>
      <c r="U75" s="141"/>
      <c r="V75" s="141"/>
      <c r="W75" s="141"/>
      <c r="X75" s="107"/>
    </row>
    <row r="76" spans="1:40" ht="16.5" customHeight="1" x14ac:dyDescent="0.25">
      <c r="A76" s="15"/>
      <c r="B76" s="141"/>
      <c r="C76" s="38" t="s">
        <v>146</v>
      </c>
      <c r="D76" s="83"/>
      <c r="E76" s="141"/>
      <c r="F76" s="288"/>
      <c r="G76" s="288"/>
      <c r="H76" s="288"/>
      <c r="I76" s="141"/>
      <c r="J76" s="29"/>
      <c r="K76" s="83"/>
      <c r="L76" s="141"/>
      <c r="M76" s="289"/>
      <c r="N76" s="289"/>
      <c r="O76" s="289"/>
      <c r="P76" s="141"/>
      <c r="Q76" s="29"/>
      <c r="R76" s="83"/>
      <c r="S76" s="141"/>
      <c r="T76" s="289"/>
      <c r="U76" s="289"/>
      <c r="V76" s="289"/>
      <c r="W76" s="141"/>
      <c r="X76" s="107"/>
    </row>
    <row r="77" spans="1:40" ht="3.95" customHeight="1" x14ac:dyDescent="0.25">
      <c r="A77" s="15"/>
      <c r="B77" s="141"/>
      <c r="C77" s="141"/>
      <c r="D77" s="141"/>
      <c r="E77" s="141"/>
      <c r="F77" s="95"/>
      <c r="G77" s="141"/>
      <c r="H77" s="141"/>
      <c r="I77" s="141"/>
      <c r="J77" s="29"/>
      <c r="K77" s="141"/>
      <c r="L77" s="141"/>
      <c r="M77" s="141"/>
      <c r="N77" s="141"/>
      <c r="O77" s="141"/>
      <c r="P77" s="141"/>
      <c r="Q77" s="29"/>
      <c r="R77" s="141"/>
      <c r="S77" s="141"/>
      <c r="T77" s="141"/>
      <c r="U77" s="141"/>
      <c r="V77" s="141"/>
      <c r="W77" s="141"/>
      <c r="X77" s="107"/>
    </row>
    <row r="78" spans="1:40" x14ac:dyDescent="0.25">
      <c r="A78" s="15"/>
      <c r="B78" s="141"/>
      <c r="C78" s="38" t="s">
        <v>147</v>
      </c>
      <c r="D78" s="278"/>
      <c r="E78" s="280"/>
      <c r="F78" s="372"/>
      <c r="G78" s="288"/>
      <c r="H78" s="288"/>
      <c r="I78" s="141"/>
      <c r="J78" s="29"/>
      <c r="K78" s="278"/>
      <c r="L78" s="280"/>
      <c r="M78" s="372"/>
      <c r="N78" s="288"/>
      <c r="O78" s="288"/>
      <c r="P78" s="141"/>
      <c r="Q78" s="29"/>
      <c r="R78" s="278"/>
      <c r="S78" s="280"/>
      <c r="T78" s="372"/>
      <c r="U78" s="288"/>
      <c r="V78" s="288"/>
      <c r="W78" s="141"/>
      <c r="X78" s="107"/>
    </row>
    <row r="79" spans="1:40" ht="3.95" customHeight="1" x14ac:dyDescent="0.25">
      <c r="A79" s="15"/>
      <c r="B79" s="141"/>
      <c r="C79" s="141"/>
      <c r="D79" s="141"/>
      <c r="E79" s="141"/>
      <c r="F79" s="141"/>
      <c r="G79" s="141"/>
      <c r="H79" s="141"/>
      <c r="I79" s="141"/>
      <c r="J79" s="29"/>
      <c r="K79" s="141"/>
      <c r="L79" s="141"/>
      <c r="M79" s="141"/>
      <c r="N79" s="141"/>
      <c r="O79" s="141"/>
      <c r="P79" s="141"/>
      <c r="Q79" s="29"/>
      <c r="R79" s="141"/>
      <c r="S79" s="141"/>
      <c r="T79" s="141"/>
      <c r="U79" s="141"/>
      <c r="V79" s="141"/>
      <c r="W79" s="141"/>
      <c r="X79" s="107"/>
    </row>
    <row r="80" spans="1:40" x14ac:dyDescent="0.25">
      <c r="A80" s="15"/>
      <c r="B80" s="141"/>
      <c r="C80" s="38" t="s">
        <v>148</v>
      </c>
      <c r="D80" s="30" t="s">
        <v>149</v>
      </c>
      <c r="E80" s="20"/>
      <c r="F80" s="30" t="s">
        <v>192</v>
      </c>
      <c r="G80" s="32"/>
      <c r="H80" s="20"/>
      <c r="I80" s="141"/>
      <c r="J80" s="29"/>
      <c r="K80" s="30" t="s">
        <v>149</v>
      </c>
      <c r="L80" s="20"/>
      <c r="M80" s="30" t="s">
        <v>338</v>
      </c>
      <c r="N80" s="32"/>
      <c r="O80" s="20"/>
      <c r="P80" s="141"/>
      <c r="Q80" s="29"/>
      <c r="R80" s="30" t="s">
        <v>149</v>
      </c>
      <c r="S80" s="20"/>
      <c r="T80" s="30" t="s">
        <v>338</v>
      </c>
      <c r="U80" s="32"/>
      <c r="V80" s="20"/>
      <c r="W80" s="141"/>
      <c r="X80" s="107"/>
    </row>
    <row r="81" spans="1:40" ht="16.5" customHeight="1" x14ac:dyDescent="0.25">
      <c r="A81" s="15"/>
      <c r="B81" s="141"/>
      <c r="C81" s="141"/>
      <c r="D81" s="33" t="s">
        <v>150</v>
      </c>
      <c r="E81" s="141"/>
      <c r="F81" s="34" t="s">
        <v>190</v>
      </c>
      <c r="G81" s="141"/>
      <c r="H81" s="141"/>
      <c r="I81" s="141"/>
      <c r="J81" s="29"/>
      <c r="K81" s="33" t="s">
        <v>150</v>
      </c>
      <c r="L81" s="141"/>
      <c r="M81" s="34" t="s">
        <v>437</v>
      </c>
      <c r="N81" s="141"/>
      <c r="O81" s="141"/>
      <c r="P81" s="141"/>
      <c r="Q81" s="29"/>
      <c r="R81" s="33" t="s">
        <v>150</v>
      </c>
      <c r="S81" s="141"/>
      <c r="T81" s="34" t="s">
        <v>437</v>
      </c>
      <c r="U81" s="141"/>
      <c r="V81" s="141"/>
      <c r="W81" s="141"/>
      <c r="X81" s="107"/>
    </row>
    <row r="82" spans="1:40" ht="16.5" customHeight="1" x14ac:dyDescent="0.25">
      <c r="A82" s="15"/>
      <c r="B82" s="75"/>
      <c r="C82" s="75"/>
      <c r="D82" s="90"/>
      <c r="E82" s="75"/>
      <c r="F82" s="34" t="s">
        <v>189</v>
      </c>
      <c r="G82" s="75"/>
      <c r="H82" s="75"/>
      <c r="I82" s="75"/>
      <c r="J82" s="29"/>
      <c r="K82" s="33"/>
      <c r="L82" s="75"/>
      <c r="M82" s="75" t="s">
        <v>337</v>
      </c>
      <c r="N82" s="75"/>
      <c r="O82" s="75"/>
      <c r="P82" s="75"/>
      <c r="Q82" s="29"/>
      <c r="R82" s="20"/>
      <c r="S82" s="75"/>
      <c r="T82" s="33" t="s">
        <v>337</v>
      </c>
      <c r="U82" s="75"/>
      <c r="V82" s="75"/>
      <c r="W82" s="75"/>
      <c r="X82" s="107"/>
    </row>
    <row r="83" spans="1:40" ht="3.95" customHeight="1" x14ac:dyDescent="0.25">
      <c r="A83" s="15"/>
      <c r="B83" s="75"/>
      <c r="C83" s="75"/>
      <c r="D83" s="75"/>
      <c r="E83" s="75"/>
      <c r="F83" s="75"/>
      <c r="G83" s="75"/>
      <c r="H83" s="75"/>
      <c r="I83" s="75"/>
      <c r="J83" s="29"/>
      <c r="K83" s="75"/>
      <c r="L83" s="75"/>
      <c r="M83" s="75"/>
      <c r="N83" s="75"/>
      <c r="O83" s="75"/>
      <c r="P83" s="75"/>
      <c r="Q83" s="29"/>
      <c r="R83" s="75"/>
      <c r="S83" s="75"/>
      <c r="T83" s="75"/>
      <c r="U83" s="75"/>
      <c r="V83" s="75"/>
      <c r="W83" s="75"/>
      <c r="X83" s="107"/>
    </row>
    <row r="84" spans="1:40" ht="16.5" customHeight="1" x14ac:dyDescent="0.25">
      <c r="A84" s="15"/>
      <c r="B84" s="75"/>
      <c r="C84" s="38" t="s">
        <v>151</v>
      </c>
      <c r="D84" s="30" t="s">
        <v>152</v>
      </c>
      <c r="E84" s="20"/>
      <c r="F84" s="20"/>
      <c r="G84" s="20"/>
      <c r="H84" s="20"/>
      <c r="I84" s="75"/>
      <c r="J84" s="29"/>
      <c r="K84" s="30" t="s">
        <v>152</v>
      </c>
      <c r="L84" s="20"/>
      <c r="M84" s="20"/>
      <c r="N84" s="20"/>
      <c r="O84" s="20"/>
      <c r="P84" s="75"/>
      <c r="Q84" s="29"/>
      <c r="R84" s="30" t="s">
        <v>152</v>
      </c>
      <c r="S84" s="20"/>
      <c r="T84" s="20"/>
      <c r="U84" s="20"/>
      <c r="V84" s="20"/>
      <c r="W84" s="75"/>
      <c r="X84" s="107"/>
    </row>
    <row r="85" spans="1:40" ht="16.5" customHeight="1" x14ac:dyDescent="0.25">
      <c r="A85" s="15"/>
      <c r="B85" s="75"/>
      <c r="C85" s="75"/>
      <c r="D85" s="33" t="s">
        <v>153</v>
      </c>
      <c r="E85" s="75"/>
      <c r="F85" s="75"/>
      <c r="G85" s="75"/>
      <c r="H85" s="75"/>
      <c r="I85" s="75"/>
      <c r="J85" s="29"/>
      <c r="K85" s="33" t="s">
        <v>153</v>
      </c>
      <c r="L85" s="75"/>
      <c r="M85" s="75"/>
      <c r="N85" s="75"/>
      <c r="O85" s="75"/>
      <c r="P85" s="75"/>
      <c r="Q85" s="29"/>
      <c r="R85" s="33" t="s">
        <v>153</v>
      </c>
      <c r="S85" s="75"/>
      <c r="T85" s="75"/>
      <c r="U85" s="75"/>
      <c r="V85" s="75"/>
      <c r="W85" s="75"/>
      <c r="X85" s="107"/>
    </row>
    <row r="86" spans="1:40" ht="16.5" customHeight="1" x14ac:dyDescent="0.25">
      <c r="A86" s="15"/>
      <c r="B86" s="75"/>
      <c r="C86" s="75"/>
      <c r="D86" s="33"/>
      <c r="E86" s="75"/>
      <c r="F86" s="75"/>
      <c r="G86" s="75"/>
      <c r="H86" s="75"/>
      <c r="I86" s="75"/>
      <c r="J86" s="29"/>
      <c r="K86" s="33"/>
      <c r="L86" s="75"/>
      <c r="M86" s="75"/>
      <c r="N86" s="75"/>
      <c r="O86" s="75"/>
      <c r="P86" s="75"/>
      <c r="Q86" s="29"/>
      <c r="R86" s="33"/>
      <c r="S86" s="75"/>
      <c r="T86" s="75"/>
      <c r="U86" s="75"/>
      <c r="V86" s="75"/>
      <c r="W86" s="75"/>
      <c r="X86" s="107"/>
    </row>
    <row r="87" spans="1:40" ht="3.95" customHeight="1" x14ac:dyDescent="0.25">
      <c r="A87" s="15"/>
      <c r="B87" s="75"/>
      <c r="C87" s="75"/>
      <c r="D87" s="75"/>
      <c r="E87" s="75"/>
      <c r="F87" s="75"/>
      <c r="G87" s="75"/>
      <c r="H87" s="75"/>
      <c r="I87" s="75"/>
      <c r="J87" s="29"/>
      <c r="K87" s="75"/>
      <c r="L87" s="75"/>
      <c r="M87" s="75"/>
      <c r="N87" s="75"/>
      <c r="O87" s="75"/>
      <c r="P87" s="75"/>
      <c r="Q87" s="29"/>
      <c r="R87" s="75"/>
      <c r="S87" s="75"/>
      <c r="T87" s="75"/>
      <c r="U87" s="75"/>
      <c r="V87" s="75"/>
      <c r="W87" s="75"/>
      <c r="X87" s="107"/>
    </row>
    <row r="88" spans="1:40" x14ac:dyDescent="0.25">
      <c r="A88" s="15"/>
      <c r="B88" s="75"/>
      <c r="C88" s="38" t="s">
        <v>2014</v>
      </c>
      <c r="D88" s="369"/>
      <c r="E88" s="370"/>
      <c r="F88" s="371"/>
      <c r="G88" s="96" t="s">
        <v>679</v>
      </c>
      <c r="H88" s="20"/>
      <c r="I88" s="96"/>
      <c r="J88" s="96"/>
      <c r="K88" s="369"/>
      <c r="L88" s="370"/>
      <c r="M88" s="371"/>
      <c r="N88" s="96" t="s">
        <v>679</v>
      </c>
      <c r="O88" s="20"/>
      <c r="P88" s="75"/>
      <c r="Q88" s="29"/>
      <c r="R88" s="369"/>
      <c r="S88" s="370"/>
      <c r="T88" s="371"/>
      <c r="U88" s="96" t="s">
        <v>679</v>
      </c>
      <c r="V88" s="20"/>
      <c r="W88" s="75"/>
      <c r="X88" s="107"/>
      <c r="Y88" s="243"/>
    </row>
    <row r="89" spans="1:40" ht="10.5" customHeight="1" thickBot="1" x14ac:dyDescent="0.3">
      <c r="A89" s="25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107"/>
    </row>
    <row r="90" spans="1:40" ht="8.25" customHeight="1" x14ac:dyDescent="0.25">
      <c r="A90" s="15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07"/>
    </row>
    <row r="91" spans="1:40" ht="15" customHeight="1" x14ac:dyDescent="0.25">
      <c r="A91" s="15"/>
      <c r="B91" s="141"/>
      <c r="C91" s="38" t="s">
        <v>135</v>
      </c>
      <c r="D91" s="287" t="s">
        <v>549</v>
      </c>
      <c r="E91" s="287"/>
      <c r="F91" s="287"/>
      <c r="G91" s="287"/>
      <c r="H91" s="287"/>
      <c r="I91" s="141"/>
      <c r="J91" s="29"/>
      <c r="K91" s="287" t="s">
        <v>550</v>
      </c>
      <c r="L91" s="287"/>
      <c r="M91" s="287"/>
      <c r="N91" s="287"/>
      <c r="O91" s="287"/>
      <c r="P91" s="141"/>
      <c r="Q91" s="29"/>
      <c r="R91" s="287" t="s">
        <v>551</v>
      </c>
      <c r="S91" s="287"/>
      <c r="T91" s="287"/>
      <c r="U91" s="287"/>
      <c r="V91" s="287"/>
      <c r="W91" s="141"/>
      <c r="X91" s="107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</row>
    <row r="92" spans="1:40" ht="3.95" customHeight="1" x14ac:dyDescent="0.25">
      <c r="A92" s="15"/>
      <c r="B92" s="243"/>
      <c r="C92" s="243"/>
      <c r="D92" s="243"/>
      <c r="E92" s="243"/>
      <c r="F92" s="243"/>
      <c r="G92" s="243"/>
      <c r="H92" s="243"/>
      <c r="I92" s="243"/>
      <c r="J92" s="29"/>
      <c r="K92" s="243"/>
      <c r="L92" s="243"/>
      <c r="M92" s="243"/>
      <c r="N92" s="243"/>
      <c r="O92" s="243"/>
      <c r="P92" s="243"/>
      <c r="Q92" s="29"/>
      <c r="R92" s="243"/>
      <c r="S92" s="243"/>
      <c r="T92" s="243"/>
      <c r="U92" s="243"/>
      <c r="V92" s="243"/>
      <c r="W92" s="243"/>
      <c r="X92" s="102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</row>
    <row r="93" spans="1:40" ht="17.25" customHeight="1" x14ac:dyDescent="0.25">
      <c r="A93" s="15"/>
      <c r="B93" s="243"/>
      <c r="C93" s="38" t="s">
        <v>1054</v>
      </c>
      <c r="D93" s="281">
        <f>Assessment!D144</f>
        <v>0</v>
      </c>
      <c r="E93" s="282"/>
      <c r="F93" s="283"/>
      <c r="G93" s="243"/>
      <c r="H93" s="243"/>
      <c r="I93" s="243"/>
      <c r="J93" s="29"/>
      <c r="K93" s="281">
        <f>Assessment!K144</f>
        <v>0</v>
      </c>
      <c r="L93" s="282"/>
      <c r="M93" s="283"/>
      <c r="N93" s="243"/>
      <c r="O93" s="243"/>
      <c r="P93" s="243"/>
      <c r="Q93" s="29"/>
      <c r="R93" s="281">
        <f>Assessment!R144</f>
        <v>0</v>
      </c>
      <c r="S93" s="282"/>
      <c r="T93" s="283"/>
      <c r="U93" s="243"/>
      <c r="V93" s="243"/>
      <c r="W93" s="243"/>
      <c r="X93" s="107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</row>
    <row r="94" spans="1:40" ht="5.0999999999999996" customHeight="1" x14ac:dyDescent="0.25">
      <c r="A94" s="15"/>
      <c r="B94" s="243"/>
      <c r="C94" s="243"/>
      <c r="D94" s="243"/>
      <c r="E94" s="243"/>
      <c r="F94" s="243"/>
      <c r="G94" s="243"/>
      <c r="H94" s="243"/>
      <c r="I94" s="243"/>
      <c r="J94" s="29"/>
      <c r="K94" s="243"/>
      <c r="L94" s="243"/>
      <c r="M94" s="243"/>
      <c r="N94" s="243"/>
      <c r="O94" s="243"/>
      <c r="P94" s="243"/>
      <c r="Q94" s="29"/>
      <c r="R94" s="243"/>
      <c r="S94" s="243"/>
      <c r="T94" s="243"/>
      <c r="U94" s="243"/>
      <c r="V94" s="243"/>
      <c r="W94" s="243"/>
      <c r="X94" s="107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</row>
    <row r="95" spans="1:40" ht="17.25" customHeight="1" x14ac:dyDescent="0.25">
      <c r="A95" s="15"/>
      <c r="B95" s="243"/>
      <c r="C95" s="38" t="s">
        <v>1055</v>
      </c>
      <c r="D95" s="278"/>
      <c r="E95" s="279"/>
      <c r="F95" s="280"/>
      <c r="G95" s="243"/>
      <c r="H95" s="243"/>
      <c r="I95" s="243"/>
      <c r="J95" s="29"/>
      <c r="K95" s="278"/>
      <c r="L95" s="279"/>
      <c r="M95" s="280"/>
      <c r="N95" s="243"/>
      <c r="O95" s="243"/>
      <c r="P95" s="243"/>
      <c r="Q95" s="29"/>
      <c r="R95" s="278"/>
      <c r="S95" s="279"/>
      <c r="T95" s="280"/>
      <c r="U95" s="243"/>
      <c r="V95" s="243"/>
      <c r="W95" s="243"/>
      <c r="X95" s="107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</row>
    <row r="96" spans="1:40" ht="3.95" customHeight="1" x14ac:dyDescent="0.25">
      <c r="A96" s="15"/>
      <c r="B96" s="141"/>
      <c r="C96" s="141"/>
      <c r="D96" s="141"/>
      <c r="E96" s="141"/>
      <c r="F96" s="141"/>
      <c r="G96" s="141"/>
      <c r="H96" s="141"/>
      <c r="I96" s="141"/>
      <c r="J96" s="29"/>
      <c r="K96" s="141"/>
      <c r="L96" s="141"/>
      <c r="M96" s="141"/>
      <c r="N96" s="141"/>
      <c r="O96" s="141"/>
      <c r="P96" s="141"/>
      <c r="Q96" s="29"/>
      <c r="R96" s="141"/>
      <c r="S96" s="141"/>
      <c r="T96" s="141"/>
      <c r="U96" s="141"/>
      <c r="V96" s="141"/>
      <c r="W96" s="141"/>
      <c r="X96" s="107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</row>
    <row r="97" spans="1:40" x14ac:dyDescent="0.25">
      <c r="A97" s="15"/>
      <c r="B97" s="141"/>
      <c r="C97" s="38" t="s">
        <v>106</v>
      </c>
      <c r="D97" s="373" t="str">
        <f>IF(wd_4loc&lt;&gt;"",wd_4loc,"")</f>
        <v/>
      </c>
      <c r="E97" s="374"/>
      <c r="F97" s="374"/>
      <c r="G97" s="374"/>
      <c r="H97" s="375"/>
      <c r="I97" s="141"/>
      <c r="J97" s="29"/>
      <c r="K97" s="373" t="str">
        <f>IF(wd_5loc&lt;&gt;"",wd_5loc,"")</f>
        <v/>
      </c>
      <c r="L97" s="374"/>
      <c r="M97" s="374"/>
      <c r="N97" s="374"/>
      <c r="O97" s="375"/>
      <c r="P97" s="141"/>
      <c r="Q97" s="29"/>
      <c r="R97" s="373" t="str">
        <f>IF(wd_6loc&lt;&gt;"",wd_6loc,"")</f>
        <v/>
      </c>
      <c r="S97" s="374"/>
      <c r="T97" s="374"/>
      <c r="U97" s="374"/>
      <c r="V97" s="375"/>
      <c r="W97" s="141"/>
      <c r="X97" s="107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</row>
    <row r="98" spans="1:40" ht="3.95" customHeight="1" x14ac:dyDescent="0.25">
      <c r="A98" s="15"/>
      <c r="B98" s="141"/>
      <c r="C98" s="141"/>
      <c r="D98" s="141"/>
      <c r="E98" s="141"/>
      <c r="F98" s="141"/>
      <c r="G98" s="141"/>
      <c r="H98" s="141"/>
      <c r="I98" s="141"/>
      <c r="J98" s="29"/>
      <c r="K98" s="141"/>
      <c r="L98" s="141"/>
      <c r="M98" s="141"/>
      <c r="N98" s="141"/>
      <c r="O98" s="141"/>
      <c r="P98" s="141"/>
      <c r="Q98" s="29"/>
      <c r="R98" s="141"/>
      <c r="S98" s="141"/>
      <c r="T98" s="141"/>
      <c r="U98" s="141"/>
      <c r="V98" s="141"/>
      <c r="W98" s="141"/>
      <c r="X98" s="107"/>
    </row>
    <row r="99" spans="1:40" x14ac:dyDescent="0.25">
      <c r="A99" s="15"/>
      <c r="B99" s="141"/>
      <c r="C99" s="38" t="s">
        <v>1002</v>
      </c>
      <c r="D99" s="376" t="str">
        <f>IF(wd_4tyoth&lt;&gt;"",wd_4tyoth,"")</f>
        <v/>
      </c>
      <c r="E99" s="377"/>
      <c r="F99" s="377"/>
      <c r="G99" s="377"/>
      <c r="H99" s="378"/>
      <c r="I99" s="141"/>
      <c r="J99" s="29"/>
      <c r="K99" s="376" t="str">
        <f>IF(wd_5tyoth&lt;&gt;"",wd_5tyoth,"")</f>
        <v/>
      </c>
      <c r="L99" s="377"/>
      <c r="M99" s="377"/>
      <c r="N99" s="377"/>
      <c r="O99" s="378"/>
      <c r="P99" s="141"/>
      <c r="Q99" s="29"/>
      <c r="R99" s="376" t="str">
        <f>IF(wd_6tyoth&lt;&gt;"",wd_6tyoth,"")</f>
        <v/>
      </c>
      <c r="S99" s="377"/>
      <c r="T99" s="377"/>
      <c r="U99" s="377"/>
      <c r="V99" s="378"/>
      <c r="W99" s="141"/>
      <c r="X99" s="107"/>
    </row>
    <row r="100" spans="1:40" ht="5.0999999999999996" customHeight="1" x14ac:dyDescent="0.25">
      <c r="A100" s="15"/>
      <c r="B100" s="141"/>
      <c r="C100" s="141"/>
      <c r="D100" s="141"/>
      <c r="E100" s="141"/>
      <c r="F100" s="141"/>
      <c r="G100" s="141"/>
      <c r="H100" s="141"/>
      <c r="I100" s="141"/>
      <c r="J100" s="29"/>
      <c r="K100" s="141"/>
      <c r="L100" s="141"/>
      <c r="M100" s="141"/>
      <c r="N100" s="141"/>
      <c r="O100" s="141"/>
      <c r="P100" s="141"/>
      <c r="Q100" s="29"/>
      <c r="R100" s="141"/>
      <c r="S100" s="141"/>
      <c r="T100" s="141"/>
      <c r="U100" s="141"/>
      <c r="V100" s="141"/>
      <c r="W100" s="141"/>
      <c r="X100" s="107"/>
    </row>
    <row r="101" spans="1:40" s="62" customFormat="1" ht="32.1" customHeight="1" x14ac:dyDescent="0.25">
      <c r="A101" s="93"/>
      <c r="B101" s="86"/>
      <c r="C101" s="94" t="s">
        <v>353</v>
      </c>
      <c r="D101" s="376" t="str">
        <f>IF(Wnd4Cat&lt;&gt;"",Wnd4Cat,"")</f>
        <v/>
      </c>
      <c r="E101" s="377"/>
      <c r="F101" s="377"/>
      <c r="G101" s="377"/>
      <c r="H101" s="378"/>
      <c r="I101" s="86"/>
      <c r="J101" s="87"/>
      <c r="K101" s="376" t="str">
        <f>IF(Wnd5Cat&lt;&gt;"",Wnd5Cat,"")</f>
        <v/>
      </c>
      <c r="L101" s="377"/>
      <c r="M101" s="377"/>
      <c r="N101" s="377"/>
      <c r="O101" s="378"/>
      <c r="P101" s="86"/>
      <c r="Q101" s="87"/>
      <c r="R101" s="376" t="str">
        <f>IF(Wnd6Cat&lt;&gt;"",Wnd6Cat,"")</f>
        <v/>
      </c>
      <c r="S101" s="377"/>
      <c r="T101" s="377"/>
      <c r="U101" s="377"/>
      <c r="V101" s="378"/>
      <c r="W101" s="86"/>
      <c r="X101" s="109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</row>
    <row r="102" spans="1:40" s="62" customFormat="1" ht="5.0999999999999996" customHeight="1" x14ac:dyDescent="0.25">
      <c r="A102" s="93"/>
      <c r="B102" s="86"/>
      <c r="C102" s="86"/>
      <c r="D102" s="86"/>
      <c r="E102" s="86"/>
      <c r="F102" s="86"/>
      <c r="G102" s="86"/>
      <c r="H102" s="86"/>
      <c r="I102" s="86"/>
      <c r="J102" s="87"/>
      <c r="K102" s="86"/>
      <c r="L102" s="86"/>
      <c r="M102" s="86"/>
      <c r="N102" s="86"/>
      <c r="O102" s="86"/>
      <c r="P102" s="86"/>
      <c r="Q102" s="87"/>
      <c r="R102" s="86"/>
      <c r="S102" s="86"/>
      <c r="T102" s="86"/>
      <c r="U102" s="86"/>
      <c r="V102" s="86"/>
      <c r="W102" s="86"/>
      <c r="X102" s="109"/>
      <c r="Y102" s="85"/>
      <c r="Z102" s="85"/>
      <c r="AA102" s="24"/>
      <c r="AB102" s="24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</row>
    <row r="103" spans="1:40" s="62" customFormat="1" ht="32.1" customHeight="1" x14ac:dyDescent="0.25">
      <c r="A103" s="93"/>
      <c r="B103" s="86"/>
      <c r="C103" s="94" t="s">
        <v>354</v>
      </c>
      <c r="D103" s="376" t="str">
        <f>IF(wd_4type&lt;&gt;"",wd_4type,"")</f>
        <v/>
      </c>
      <c r="E103" s="377"/>
      <c r="F103" s="377"/>
      <c r="G103" s="377"/>
      <c r="H103" s="378"/>
      <c r="I103" s="86"/>
      <c r="J103" s="87"/>
      <c r="K103" s="376" t="str">
        <f>IF(wd_5type&lt;&gt;"",wd_5type,"")</f>
        <v/>
      </c>
      <c r="L103" s="377"/>
      <c r="M103" s="377"/>
      <c r="N103" s="377"/>
      <c r="O103" s="378"/>
      <c r="P103" s="86"/>
      <c r="Q103" s="87"/>
      <c r="R103" s="376" t="str">
        <f>IF(wd_6type&lt;&gt;"",wd_6type,"")</f>
        <v/>
      </c>
      <c r="S103" s="377"/>
      <c r="T103" s="377"/>
      <c r="U103" s="377"/>
      <c r="V103" s="378"/>
      <c r="W103" s="86"/>
      <c r="X103" s="109"/>
      <c r="Y103" s="24"/>
      <c r="Z103" s="24"/>
      <c r="AA103" s="24"/>
      <c r="AB103" s="24"/>
      <c r="AC103" s="24"/>
      <c r="AD103" s="24"/>
      <c r="AE103" s="24"/>
      <c r="AF103" s="85"/>
      <c r="AG103" s="85"/>
      <c r="AH103" s="85"/>
      <c r="AI103" s="85"/>
      <c r="AJ103" s="85"/>
      <c r="AK103" s="85"/>
      <c r="AL103" s="85"/>
      <c r="AM103" s="85"/>
      <c r="AN103" s="85"/>
    </row>
    <row r="104" spans="1:40" s="62" customFormat="1" ht="5.0999999999999996" customHeight="1" x14ac:dyDescent="0.25">
      <c r="A104" s="93"/>
      <c r="B104" s="86"/>
      <c r="C104" s="86"/>
      <c r="D104" s="86"/>
      <c r="E104" s="86"/>
      <c r="F104" s="86"/>
      <c r="G104" s="86"/>
      <c r="H104" s="86"/>
      <c r="I104" s="86"/>
      <c r="J104" s="87"/>
      <c r="K104" s="86"/>
      <c r="L104" s="86"/>
      <c r="M104" s="86"/>
      <c r="N104" s="86"/>
      <c r="O104" s="86"/>
      <c r="P104" s="86"/>
      <c r="Q104" s="87"/>
      <c r="R104" s="86"/>
      <c r="S104" s="86"/>
      <c r="T104" s="86"/>
      <c r="U104" s="86"/>
      <c r="V104" s="86"/>
      <c r="W104" s="86"/>
      <c r="X104" s="109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</row>
    <row r="105" spans="1:40" s="62" customFormat="1" ht="32.1" customHeight="1" x14ac:dyDescent="0.25">
      <c r="A105" s="93"/>
      <c r="B105" s="86"/>
      <c r="C105" s="94" t="s">
        <v>355</v>
      </c>
      <c r="D105" s="376" t="str">
        <f>IF(wd_4tysub&lt;&gt;"",wd_4tysub,"")</f>
        <v/>
      </c>
      <c r="E105" s="377"/>
      <c r="F105" s="377"/>
      <c r="G105" s="377"/>
      <c r="H105" s="378"/>
      <c r="I105" s="86"/>
      <c r="J105" s="87"/>
      <c r="K105" s="376" t="str">
        <f>IF(wd_5tysub&lt;&gt;"",wd_5tysub,"")</f>
        <v/>
      </c>
      <c r="L105" s="377"/>
      <c r="M105" s="377"/>
      <c r="N105" s="377"/>
      <c r="O105" s="378"/>
      <c r="P105" s="86"/>
      <c r="Q105" s="87"/>
      <c r="R105" s="376" t="str">
        <f>IF(wd_6tysub&lt;&gt;"",wd_6tysub,"")</f>
        <v/>
      </c>
      <c r="S105" s="377"/>
      <c r="T105" s="377"/>
      <c r="U105" s="377"/>
      <c r="V105" s="378"/>
      <c r="W105" s="86"/>
      <c r="X105" s="109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</row>
    <row r="106" spans="1:40" ht="5.0999999999999996" customHeight="1" x14ac:dyDescent="0.25">
      <c r="A106" s="15"/>
      <c r="B106" s="141"/>
      <c r="C106" s="141"/>
      <c r="D106" s="141"/>
      <c r="E106" s="141"/>
      <c r="F106" s="141"/>
      <c r="G106" s="141"/>
      <c r="H106" s="141"/>
      <c r="I106" s="141"/>
      <c r="J106" s="29"/>
      <c r="K106" s="141"/>
      <c r="L106" s="141"/>
      <c r="M106" s="141"/>
      <c r="N106" s="141"/>
      <c r="O106" s="141"/>
      <c r="P106" s="141"/>
      <c r="Q106" s="29"/>
      <c r="R106" s="141"/>
      <c r="S106" s="141"/>
      <c r="T106" s="141"/>
      <c r="U106" s="141"/>
      <c r="V106" s="141"/>
      <c r="W106" s="141"/>
      <c r="X106" s="107"/>
    </row>
    <row r="107" spans="1:40" x14ac:dyDescent="0.25">
      <c r="A107" s="15"/>
      <c r="B107" s="141"/>
      <c r="C107" s="38" t="s">
        <v>142</v>
      </c>
      <c r="D107" s="294"/>
      <c r="E107" s="295"/>
      <c r="F107" s="295"/>
      <c r="G107" s="295"/>
      <c r="H107" s="296"/>
      <c r="I107" s="141"/>
      <c r="J107" s="29"/>
      <c r="K107" s="294"/>
      <c r="L107" s="295"/>
      <c r="M107" s="295"/>
      <c r="N107" s="295"/>
      <c r="O107" s="296"/>
      <c r="P107" s="141"/>
      <c r="Q107" s="29"/>
      <c r="R107" s="294"/>
      <c r="S107" s="295"/>
      <c r="T107" s="295"/>
      <c r="U107" s="295"/>
      <c r="V107" s="296"/>
      <c r="W107" s="141"/>
      <c r="X107" s="107"/>
    </row>
    <row r="108" spans="1:40" ht="3.95" customHeight="1" x14ac:dyDescent="0.25">
      <c r="A108" s="15"/>
      <c r="B108" s="141"/>
      <c r="C108" s="141"/>
      <c r="D108" s="141"/>
      <c r="E108" s="141"/>
      <c r="F108" s="141"/>
      <c r="G108" s="141"/>
      <c r="H108" s="141"/>
      <c r="I108" s="141"/>
      <c r="J108" s="29"/>
      <c r="K108" s="141"/>
      <c r="L108" s="141"/>
      <c r="M108" s="141"/>
      <c r="N108" s="141"/>
      <c r="O108" s="141"/>
      <c r="P108" s="141"/>
      <c r="Q108" s="29"/>
      <c r="R108" s="141"/>
      <c r="S108" s="141"/>
      <c r="T108" s="141"/>
      <c r="U108" s="141"/>
      <c r="V108" s="141"/>
      <c r="W108" s="141"/>
      <c r="X108" s="107"/>
    </row>
    <row r="109" spans="1:40" x14ac:dyDescent="0.25">
      <c r="A109" s="15"/>
      <c r="B109" s="141"/>
      <c r="C109" s="38" t="s">
        <v>143</v>
      </c>
      <c r="D109" s="294"/>
      <c r="E109" s="295"/>
      <c r="F109" s="296"/>
      <c r="G109" s="20"/>
      <c r="H109" s="20"/>
      <c r="I109" s="141"/>
      <c r="J109" s="29"/>
      <c r="K109" s="294"/>
      <c r="L109" s="295"/>
      <c r="M109" s="296"/>
      <c r="N109" s="20"/>
      <c r="O109" s="20"/>
      <c r="P109" s="141"/>
      <c r="Q109" s="29"/>
      <c r="R109" s="294"/>
      <c r="S109" s="295"/>
      <c r="T109" s="296"/>
      <c r="U109" s="20"/>
      <c r="V109" s="20"/>
      <c r="W109" s="141"/>
      <c r="X109" s="107"/>
    </row>
    <row r="110" spans="1:40" ht="3.95" customHeight="1" x14ac:dyDescent="0.25">
      <c r="A110" s="15"/>
      <c r="B110" s="141"/>
      <c r="C110" s="141"/>
      <c r="D110" s="141"/>
      <c r="E110" s="141"/>
      <c r="F110" s="141"/>
      <c r="G110" s="141"/>
      <c r="H110" s="141"/>
      <c r="I110" s="141"/>
      <c r="J110" s="29"/>
      <c r="K110" s="141"/>
      <c r="L110" s="141"/>
      <c r="M110" s="141"/>
      <c r="N110" s="141"/>
      <c r="O110" s="141"/>
      <c r="P110" s="141"/>
      <c r="Q110" s="29"/>
      <c r="R110" s="141"/>
      <c r="S110" s="141"/>
      <c r="T110" s="141"/>
      <c r="U110" s="141"/>
      <c r="V110" s="141"/>
      <c r="W110" s="141"/>
      <c r="X110" s="107"/>
    </row>
    <row r="111" spans="1:40" x14ac:dyDescent="0.25">
      <c r="A111" s="15"/>
      <c r="B111" s="141"/>
      <c r="C111" s="21" t="s">
        <v>144</v>
      </c>
      <c r="D111" s="83"/>
      <c r="E111" s="141"/>
      <c r="F111" s="83"/>
      <c r="G111" s="141"/>
      <c r="H111" s="83"/>
      <c r="I111" s="141"/>
      <c r="J111" s="29"/>
      <c r="K111" s="83"/>
      <c r="L111" s="141"/>
      <c r="M111" s="83"/>
      <c r="N111" s="141"/>
      <c r="O111" s="83"/>
      <c r="P111" s="141"/>
      <c r="Q111" s="29"/>
      <c r="R111" s="83"/>
      <c r="S111" s="141"/>
      <c r="T111" s="83"/>
      <c r="U111" s="141"/>
      <c r="V111" s="83"/>
      <c r="W111" s="141"/>
      <c r="X111" s="107"/>
    </row>
    <row r="112" spans="1:40" ht="3.95" customHeight="1" x14ac:dyDescent="0.25">
      <c r="A112" s="15"/>
      <c r="B112" s="141"/>
      <c r="C112" s="141"/>
      <c r="D112" s="141"/>
      <c r="E112" s="141"/>
      <c r="F112" s="141"/>
      <c r="G112" s="141"/>
      <c r="H112" s="141"/>
      <c r="I112" s="141"/>
      <c r="J112" s="29"/>
      <c r="K112" s="141"/>
      <c r="L112" s="141"/>
      <c r="M112" s="141"/>
      <c r="N112" s="141"/>
      <c r="O112" s="141"/>
      <c r="P112" s="141"/>
      <c r="Q112" s="29"/>
      <c r="R112" s="141"/>
      <c r="S112" s="141"/>
      <c r="T112" s="141"/>
      <c r="U112" s="141"/>
      <c r="V112" s="141"/>
      <c r="W112" s="141"/>
      <c r="X112" s="107"/>
    </row>
    <row r="113" spans="1:24" x14ac:dyDescent="0.25">
      <c r="A113" s="15"/>
      <c r="B113" s="141"/>
      <c r="C113" s="38" t="s">
        <v>145</v>
      </c>
      <c r="D113" s="83"/>
      <c r="E113" s="141"/>
      <c r="F113" s="288"/>
      <c r="G113" s="288"/>
      <c r="H113" s="288"/>
      <c r="I113" s="141"/>
      <c r="J113" s="29"/>
      <c r="K113" s="83"/>
      <c r="L113" s="141"/>
      <c r="M113" s="140"/>
      <c r="N113" s="141"/>
      <c r="O113" s="141"/>
      <c r="P113" s="141"/>
      <c r="Q113" s="29"/>
      <c r="R113" s="83"/>
      <c r="S113" s="141"/>
      <c r="T113" s="140"/>
      <c r="U113" s="141"/>
      <c r="V113" s="141"/>
      <c r="W113" s="141"/>
      <c r="X113" s="107"/>
    </row>
    <row r="114" spans="1:24" ht="3.95" customHeight="1" x14ac:dyDescent="0.25">
      <c r="A114" s="15"/>
      <c r="B114" s="141"/>
      <c r="C114" s="141"/>
      <c r="D114" s="141"/>
      <c r="E114" s="141"/>
      <c r="F114" s="288"/>
      <c r="G114" s="288"/>
      <c r="H114" s="288"/>
      <c r="I114" s="141"/>
      <c r="J114" s="29"/>
      <c r="K114" s="141"/>
      <c r="L114" s="141"/>
      <c r="M114" s="141"/>
      <c r="N114" s="141"/>
      <c r="O114" s="141"/>
      <c r="P114" s="141"/>
      <c r="Q114" s="29"/>
      <c r="R114" s="141"/>
      <c r="S114" s="141"/>
      <c r="T114" s="141"/>
      <c r="U114" s="141"/>
      <c r="V114" s="141"/>
      <c r="W114" s="141"/>
      <c r="X114" s="107"/>
    </row>
    <row r="115" spans="1:24" ht="16.5" customHeight="1" x14ac:dyDescent="0.25">
      <c r="A115" s="15"/>
      <c r="B115" s="141"/>
      <c r="C115" s="38" t="s">
        <v>146</v>
      </c>
      <c r="D115" s="83"/>
      <c r="E115" s="141"/>
      <c r="F115" s="288"/>
      <c r="G115" s="288"/>
      <c r="H115" s="288"/>
      <c r="I115" s="141"/>
      <c r="J115" s="29"/>
      <c r="K115" s="83"/>
      <c r="L115" s="141"/>
      <c r="M115" s="289"/>
      <c r="N115" s="289"/>
      <c r="O115" s="289"/>
      <c r="P115" s="141"/>
      <c r="Q115" s="29"/>
      <c r="R115" s="83"/>
      <c r="S115" s="141"/>
      <c r="T115" s="289"/>
      <c r="U115" s="289"/>
      <c r="V115" s="289"/>
      <c r="W115" s="141"/>
      <c r="X115" s="107"/>
    </row>
    <row r="116" spans="1:24" ht="3.95" customHeight="1" x14ac:dyDescent="0.25">
      <c r="A116" s="15"/>
      <c r="B116" s="141"/>
      <c r="C116" s="141"/>
      <c r="D116" s="141"/>
      <c r="E116" s="141"/>
      <c r="F116" s="95"/>
      <c r="G116" s="141"/>
      <c r="H116" s="141"/>
      <c r="I116" s="141"/>
      <c r="J116" s="29"/>
      <c r="K116" s="141"/>
      <c r="L116" s="141"/>
      <c r="M116" s="141"/>
      <c r="N116" s="141"/>
      <c r="O116" s="141"/>
      <c r="P116" s="141"/>
      <c r="Q116" s="29"/>
      <c r="R116" s="141"/>
      <c r="S116" s="141"/>
      <c r="T116" s="141"/>
      <c r="U116" s="141"/>
      <c r="V116" s="141"/>
      <c r="W116" s="141"/>
      <c r="X116" s="107"/>
    </row>
    <row r="117" spans="1:24" x14ac:dyDescent="0.25">
      <c r="A117" s="15"/>
      <c r="B117" s="141"/>
      <c r="C117" s="38" t="s">
        <v>147</v>
      </c>
      <c r="D117" s="278"/>
      <c r="E117" s="280"/>
      <c r="F117" s="372"/>
      <c r="G117" s="288"/>
      <c r="H117" s="288"/>
      <c r="I117" s="141"/>
      <c r="J117" s="29"/>
      <c r="K117" s="278"/>
      <c r="L117" s="280"/>
      <c r="M117" s="372"/>
      <c r="N117" s="288"/>
      <c r="O117" s="288"/>
      <c r="P117" s="141"/>
      <c r="Q117" s="29"/>
      <c r="R117" s="278"/>
      <c r="S117" s="280"/>
      <c r="T117" s="372"/>
      <c r="U117" s="288"/>
      <c r="V117" s="288"/>
      <c r="W117" s="141"/>
      <c r="X117" s="107"/>
    </row>
    <row r="118" spans="1:24" ht="3.95" customHeight="1" x14ac:dyDescent="0.25">
      <c r="A118" s="15"/>
      <c r="B118" s="141"/>
      <c r="C118" s="141"/>
      <c r="D118" s="141"/>
      <c r="E118" s="141"/>
      <c r="F118" s="141"/>
      <c r="G118" s="141"/>
      <c r="H118" s="141"/>
      <c r="I118" s="141"/>
      <c r="J118" s="29"/>
      <c r="K118" s="141"/>
      <c r="L118" s="141"/>
      <c r="M118" s="141"/>
      <c r="N118" s="141"/>
      <c r="O118" s="141"/>
      <c r="P118" s="141"/>
      <c r="Q118" s="29"/>
      <c r="R118" s="141"/>
      <c r="S118" s="141"/>
      <c r="T118" s="141"/>
      <c r="U118" s="141"/>
      <c r="V118" s="141"/>
      <c r="W118" s="141"/>
      <c r="X118" s="107"/>
    </row>
    <row r="119" spans="1:24" x14ac:dyDescent="0.25">
      <c r="A119" s="15"/>
      <c r="B119" s="141"/>
      <c r="C119" s="38" t="s">
        <v>148</v>
      </c>
      <c r="D119" s="30" t="s">
        <v>149</v>
      </c>
      <c r="E119" s="20"/>
      <c r="F119" s="30" t="s">
        <v>192</v>
      </c>
      <c r="G119" s="32"/>
      <c r="H119" s="20"/>
      <c r="I119" s="141"/>
      <c r="J119" s="29"/>
      <c r="K119" s="30" t="s">
        <v>149</v>
      </c>
      <c r="L119" s="20"/>
      <c r="M119" s="30" t="s">
        <v>338</v>
      </c>
      <c r="N119" s="32"/>
      <c r="O119" s="20"/>
      <c r="P119" s="141"/>
      <c r="Q119" s="29"/>
      <c r="R119" s="30" t="s">
        <v>149</v>
      </c>
      <c r="S119" s="20"/>
      <c r="T119" s="30" t="s">
        <v>338</v>
      </c>
      <c r="U119" s="32"/>
      <c r="V119" s="20"/>
      <c r="W119" s="141"/>
      <c r="X119" s="107"/>
    </row>
    <row r="120" spans="1:24" ht="16.5" customHeight="1" x14ac:dyDescent="0.25">
      <c r="A120" s="15"/>
      <c r="B120" s="141"/>
      <c r="C120" s="141"/>
      <c r="D120" s="33" t="s">
        <v>150</v>
      </c>
      <c r="E120" s="141"/>
      <c r="F120" s="34" t="s">
        <v>190</v>
      </c>
      <c r="G120" s="141"/>
      <c r="H120" s="141"/>
      <c r="I120" s="141"/>
      <c r="J120" s="29"/>
      <c r="K120" s="33" t="s">
        <v>150</v>
      </c>
      <c r="L120" s="141"/>
      <c r="M120" s="34" t="s">
        <v>437</v>
      </c>
      <c r="N120" s="141"/>
      <c r="O120" s="141"/>
      <c r="P120" s="141"/>
      <c r="Q120" s="29"/>
      <c r="R120" s="33" t="s">
        <v>150</v>
      </c>
      <c r="S120" s="141"/>
      <c r="T120" s="34" t="s">
        <v>437</v>
      </c>
      <c r="U120" s="141"/>
      <c r="V120" s="141"/>
      <c r="W120" s="141"/>
      <c r="X120" s="107"/>
    </row>
    <row r="121" spans="1:24" ht="16.5" customHeight="1" x14ac:dyDescent="0.25">
      <c r="A121" s="15"/>
      <c r="B121" s="141"/>
      <c r="C121" s="141"/>
      <c r="D121" s="90"/>
      <c r="E121" s="141"/>
      <c r="F121" s="34" t="s">
        <v>189</v>
      </c>
      <c r="G121" s="141"/>
      <c r="H121" s="141"/>
      <c r="I121" s="141"/>
      <c r="J121" s="29"/>
      <c r="K121" s="33"/>
      <c r="L121" s="141"/>
      <c r="M121" s="141" t="s">
        <v>337</v>
      </c>
      <c r="N121" s="141"/>
      <c r="O121" s="141"/>
      <c r="P121" s="141"/>
      <c r="Q121" s="29"/>
      <c r="R121" s="20"/>
      <c r="S121" s="141"/>
      <c r="T121" s="33" t="s">
        <v>337</v>
      </c>
      <c r="U121" s="141"/>
      <c r="V121" s="141"/>
      <c r="W121" s="141"/>
      <c r="X121" s="107"/>
    </row>
    <row r="122" spans="1:24" ht="3.95" customHeight="1" x14ac:dyDescent="0.25">
      <c r="A122" s="15"/>
      <c r="B122" s="141"/>
      <c r="C122" s="141"/>
      <c r="D122" s="141"/>
      <c r="E122" s="141"/>
      <c r="F122" s="141"/>
      <c r="G122" s="141"/>
      <c r="H122" s="141"/>
      <c r="I122" s="141"/>
      <c r="J122" s="29"/>
      <c r="K122" s="141"/>
      <c r="L122" s="141"/>
      <c r="M122" s="141"/>
      <c r="N122" s="141"/>
      <c r="O122" s="141"/>
      <c r="P122" s="141"/>
      <c r="Q122" s="29"/>
      <c r="R122" s="141"/>
      <c r="S122" s="141"/>
      <c r="T122" s="141"/>
      <c r="U122" s="141"/>
      <c r="V122" s="141"/>
      <c r="W122" s="141"/>
      <c r="X122" s="107"/>
    </row>
    <row r="123" spans="1:24" ht="16.5" customHeight="1" x14ac:dyDescent="0.25">
      <c r="A123" s="15"/>
      <c r="B123" s="141"/>
      <c r="C123" s="38" t="s">
        <v>151</v>
      </c>
      <c r="D123" s="30" t="s">
        <v>152</v>
      </c>
      <c r="E123" s="20"/>
      <c r="F123" s="20"/>
      <c r="G123" s="20"/>
      <c r="H123" s="20"/>
      <c r="I123" s="141"/>
      <c r="J123" s="29"/>
      <c r="K123" s="30" t="s">
        <v>152</v>
      </c>
      <c r="L123" s="20"/>
      <c r="M123" s="20"/>
      <c r="N123" s="20"/>
      <c r="O123" s="20"/>
      <c r="P123" s="141"/>
      <c r="Q123" s="29"/>
      <c r="R123" s="30" t="s">
        <v>152</v>
      </c>
      <c r="S123" s="20"/>
      <c r="T123" s="20"/>
      <c r="U123" s="20"/>
      <c r="V123" s="20"/>
      <c r="W123" s="141"/>
      <c r="X123" s="107"/>
    </row>
    <row r="124" spans="1:24" ht="16.5" customHeight="1" x14ac:dyDescent="0.25">
      <c r="A124" s="15"/>
      <c r="B124" s="141"/>
      <c r="C124" s="141"/>
      <c r="D124" s="33" t="s">
        <v>153</v>
      </c>
      <c r="E124" s="141"/>
      <c r="F124" s="141"/>
      <c r="G124" s="141"/>
      <c r="H124" s="141"/>
      <c r="I124" s="141"/>
      <c r="J124" s="29"/>
      <c r="K124" s="33" t="s">
        <v>153</v>
      </c>
      <c r="L124" s="141"/>
      <c r="M124" s="141"/>
      <c r="N124" s="141"/>
      <c r="O124" s="141"/>
      <c r="P124" s="141"/>
      <c r="Q124" s="29"/>
      <c r="R124" s="33" t="s">
        <v>153</v>
      </c>
      <c r="S124" s="141"/>
      <c r="T124" s="141"/>
      <c r="U124" s="141"/>
      <c r="V124" s="141"/>
      <c r="W124" s="141"/>
      <c r="X124" s="107"/>
    </row>
    <row r="125" spans="1:24" ht="16.5" customHeight="1" x14ac:dyDescent="0.25">
      <c r="A125" s="15"/>
      <c r="B125" s="141"/>
      <c r="C125" s="141"/>
      <c r="D125" s="33"/>
      <c r="E125" s="141"/>
      <c r="F125" s="141"/>
      <c r="G125" s="141"/>
      <c r="H125" s="141"/>
      <c r="I125" s="141"/>
      <c r="J125" s="29"/>
      <c r="K125" s="33"/>
      <c r="L125" s="141"/>
      <c r="M125" s="141"/>
      <c r="N125" s="141"/>
      <c r="O125" s="141"/>
      <c r="P125" s="141"/>
      <c r="Q125" s="29"/>
      <c r="R125" s="33"/>
      <c r="S125" s="141"/>
      <c r="T125" s="141"/>
      <c r="U125" s="141"/>
      <c r="V125" s="141"/>
      <c r="W125" s="141"/>
      <c r="X125" s="107"/>
    </row>
    <row r="126" spans="1:24" ht="3.95" customHeight="1" x14ac:dyDescent="0.25">
      <c r="A126" s="15"/>
      <c r="B126" s="141"/>
      <c r="C126" s="141"/>
      <c r="D126" s="141"/>
      <c r="E126" s="141"/>
      <c r="F126" s="141"/>
      <c r="G126" s="141"/>
      <c r="H126" s="141"/>
      <c r="I126" s="141"/>
      <c r="J126" s="29"/>
      <c r="K126" s="141"/>
      <c r="L126" s="141"/>
      <c r="M126" s="141"/>
      <c r="N126" s="141"/>
      <c r="O126" s="141"/>
      <c r="P126" s="141"/>
      <c r="Q126" s="29"/>
      <c r="R126" s="141"/>
      <c r="S126" s="141"/>
      <c r="T126" s="141"/>
      <c r="U126" s="141"/>
      <c r="V126" s="141"/>
      <c r="W126" s="141"/>
      <c r="X126" s="107"/>
    </row>
    <row r="127" spans="1:24" x14ac:dyDescent="0.25">
      <c r="A127" s="15"/>
      <c r="B127" s="141"/>
      <c r="C127" s="38" t="s">
        <v>2014</v>
      </c>
      <c r="D127" s="369"/>
      <c r="E127" s="370"/>
      <c r="F127" s="371"/>
      <c r="G127" s="96" t="s">
        <v>679</v>
      </c>
      <c r="H127" s="20"/>
      <c r="I127" s="96"/>
      <c r="J127" s="96"/>
      <c r="K127" s="369"/>
      <c r="L127" s="370"/>
      <c r="M127" s="371"/>
      <c r="N127" s="96" t="s">
        <v>679</v>
      </c>
      <c r="O127" s="20"/>
      <c r="P127" s="141"/>
      <c r="Q127" s="29"/>
      <c r="R127" s="369"/>
      <c r="S127" s="370"/>
      <c r="T127" s="371"/>
      <c r="U127" s="96" t="s">
        <v>679</v>
      </c>
      <c r="V127" s="20"/>
      <c r="W127" s="141"/>
      <c r="X127" s="107"/>
    </row>
    <row r="128" spans="1:24" ht="10.5" customHeight="1" thickBot="1" x14ac:dyDescent="0.3">
      <c r="A128" s="25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107"/>
    </row>
    <row r="129" spans="1:40" ht="8.25" customHeight="1" x14ac:dyDescent="0.25">
      <c r="A129" s="15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07"/>
    </row>
    <row r="130" spans="1:40" ht="15" customHeight="1" x14ac:dyDescent="0.25">
      <c r="A130" s="15"/>
      <c r="B130" s="141"/>
      <c r="C130" s="38" t="s">
        <v>135</v>
      </c>
      <c r="D130" s="287" t="s">
        <v>552</v>
      </c>
      <c r="E130" s="287"/>
      <c r="F130" s="287"/>
      <c r="G130" s="287"/>
      <c r="H130" s="287"/>
      <c r="I130" s="141"/>
      <c r="J130" s="29"/>
      <c r="K130" s="287" t="s">
        <v>553</v>
      </c>
      <c r="L130" s="287"/>
      <c r="M130" s="287"/>
      <c r="N130" s="287"/>
      <c r="O130" s="287"/>
      <c r="P130" s="141"/>
      <c r="Q130" s="29"/>
      <c r="R130" s="287" t="s">
        <v>554</v>
      </c>
      <c r="S130" s="287"/>
      <c r="T130" s="287"/>
      <c r="U130" s="287"/>
      <c r="V130" s="287"/>
      <c r="W130" s="243"/>
      <c r="X130" s="107"/>
    </row>
    <row r="131" spans="1:40" ht="3.95" customHeight="1" x14ac:dyDescent="0.25">
      <c r="A131" s="15"/>
      <c r="B131" s="243"/>
      <c r="C131" s="243"/>
      <c r="D131" s="243"/>
      <c r="E131" s="243"/>
      <c r="F131" s="243"/>
      <c r="G131" s="243"/>
      <c r="H131" s="243"/>
      <c r="I131" s="243"/>
      <c r="J131" s="29"/>
      <c r="K131" s="243"/>
      <c r="L131" s="243"/>
      <c r="M131" s="243"/>
      <c r="N131" s="243"/>
      <c r="O131" s="243"/>
      <c r="P131" s="243"/>
      <c r="Q131" s="29"/>
      <c r="R131" s="243"/>
      <c r="S131" s="243"/>
      <c r="T131" s="243"/>
      <c r="U131" s="243"/>
      <c r="V131" s="243"/>
      <c r="W131" s="243"/>
      <c r="X131" s="102"/>
    </row>
    <row r="132" spans="1:40" ht="16.5" customHeight="1" x14ac:dyDescent="0.25">
      <c r="A132" s="15"/>
      <c r="B132" s="243"/>
      <c r="C132" s="38" t="s">
        <v>1054</v>
      </c>
      <c r="D132" s="281">
        <f>Assessment!D189</f>
        <v>0</v>
      </c>
      <c r="E132" s="282"/>
      <c r="F132" s="283"/>
      <c r="G132" s="243"/>
      <c r="H132" s="243"/>
      <c r="I132" s="243"/>
      <c r="J132" s="29"/>
      <c r="K132" s="281">
        <f>Assessment!K189</f>
        <v>0</v>
      </c>
      <c r="L132" s="282"/>
      <c r="M132" s="283"/>
      <c r="N132" s="243"/>
      <c r="O132" s="243"/>
      <c r="P132" s="243"/>
      <c r="Q132" s="29"/>
      <c r="R132" s="281">
        <f>Assessment!R189</f>
        <v>0</v>
      </c>
      <c r="S132" s="282"/>
      <c r="T132" s="283"/>
      <c r="U132" s="243"/>
      <c r="V132" s="243"/>
      <c r="W132" s="243"/>
      <c r="X132" s="107"/>
    </row>
    <row r="133" spans="1:40" ht="5.0999999999999996" customHeight="1" x14ac:dyDescent="0.25">
      <c r="A133" s="15"/>
      <c r="B133" s="243"/>
      <c r="C133" s="243"/>
      <c r="D133" s="243"/>
      <c r="E133" s="243"/>
      <c r="F133" s="243"/>
      <c r="G133" s="243"/>
      <c r="H133" s="243"/>
      <c r="I133" s="243"/>
      <c r="J133" s="29"/>
      <c r="K133" s="243"/>
      <c r="L133" s="243"/>
      <c r="M133" s="243"/>
      <c r="N133" s="243"/>
      <c r="O133" s="243"/>
      <c r="P133" s="243"/>
      <c r="Q133" s="29"/>
      <c r="R133" s="243"/>
      <c r="S133" s="243"/>
      <c r="T133" s="243"/>
      <c r="U133" s="243"/>
      <c r="V133" s="243"/>
      <c r="W133" s="243"/>
      <c r="X133" s="107"/>
    </row>
    <row r="134" spans="1:40" ht="16.5" customHeight="1" x14ac:dyDescent="0.25">
      <c r="A134" s="15"/>
      <c r="B134" s="243"/>
      <c r="C134" s="38" t="s">
        <v>1055</v>
      </c>
      <c r="D134" s="278"/>
      <c r="E134" s="279"/>
      <c r="F134" s="280"/>
      <c r="G134" s="243"/>
      <c r="H134" s="243"/>
      <c r="I134" s="243"/>
      <c r="J134" s="29"/>
      <c r="K134" s="278"/>
      <c r="L134" s="279"/>
      <c r="M134" s="280"/>
      <c r="N134" s="243"/>
      <c r="O134" s="243"/>
      <c r="P134" s="243"/>
      <c r="Q134" s="29"/>
      <c r="R134" s="278"/>
      <c r="S134" s="279"/>
      <c r="T134" s="280"/>
      <c r="U134" s="243"/>
      <c r="V134" s="243"/>
      <c r="W134" s="243"/>
      <c r="X134" s="107"/>
    </row>
    <row r="135" spans="1:40" ht="3.95" customHeight="1" x14ac:dyDescent="0.25">
      <c r="A135" s="15"/>
      <c r="B135" s="141"/>
      <c r="C135" s="141"/>
      <c r="D135" s="141"/>
      <c r="E135" s="141"/>
      <c r="F135" s="141"/>
      <c r="G135" s="141"/>
      <c r="H135" s="141"/>
      <c r="I135" s="141"/>
      <c r="J135" s="29"/>
      <c r="K135" s="141"/>
      <c r="L135" s="141"/>
      <c r="M135" s="141"/>
      <c r="N135" s="141"/>
      <c r="O135" s="141"/>
      <c r="P135" s="141"/>
      <c r="Q135" s="29"/>
      <c r="R135" s="141"/>
      <c r="S135" s="141"/>
      <c r="T135" s="141"/>
      <c r="U135" s="141"/>
      <c r="V135" s="141"/>
      <c r="W135" s="141"/>
      <c r="X135" s="107"/>
    </row>
    <row r="136" spans="1:40" x14ac:dyDescent="0.25">
      <c r="A136" s="15"/>
      <c r="B136" s="141"/>
      <c r="C136" s="38" t="s">
        <v>106</v>
      </c>
      <c r="D136" s="373" t="str">
        <f>IF(wd_7loc&lt;&gt;"",wd_7loc,"")</f>
        <v/>
      </c>
      <c r="E136" s="374"/>
      <c r="F136" s="374"/>
      <c r="G136" s="374"/>
      <c r="H136" s="375"/>
      <c r="I136" s="141"/>
      <c r="J136" s="29"/>
      <c r="K136" s="373" t="str">
        <f>IF(wd_8loc&lt;&gt;"",wd_8loc,"")</f>
        <v/>
      </c>
      <c r="L136" s="374"/>
      <c r="M136" s="374"/>
      <c r="N136" s="374"/>
      <c r="O136" s="375"/>
      <c r="P136" s="141"/>
      <c r="Q136" s="29"/>
      <c r="R136" s="373" t="str">
        <f>IF(wd_9loc&lt;&gt;"",wd_9loc,"")</f>
        <v/>
      </c>
      <c r="S136" s="374"/>
      <c r="T136" s="374"/>
      <c r="U136" s="374"/>
      <c r="V136" s="375"/>
      <c r="W136" s="141"/>
      <c r="X136" s="107"/>
    </row>
    <row r="137" spans="1:40" ht="3.95" customHeight="1" x14ac:dyDescent="0.25">
      <c r="A137" s="15"/>
      <c r="B137" s="141"/>
      <c r="C137" s="141"/>
      <c r="D137" s="141"/>
      <c r="E137" s="141"/>
      <c r="F137" s="141"/>
      <c r="G137" s="141"/>
      <c r="H137" s="141"/>
      <c r="I137" s="141"/>
      <c r="J137" s="29"/>
      <c r="K137" s="141"/>
      <c r="L137" s="141"/>
      <c r="M137" s="141"/>
      <c r="N137" s="141"/>
      <c r="O137" s="141"/>
      <c r="P137" s="141"/>
      <c r="Q137" s="29"/>
      <c r="R137" s="141"/>
      <c r="S137" s="141"/>
      <c r="T137" s="141"/>
      <c r="U137" s="141"/>
      <c r="V137" s="141"/>
      <c r="W137" s="141"/>
      <c r="X137" s="107"/>
    </row>
    <row r="138" spans="1:40" x14ac:dyDescent="0.25">
      <c r="A138" s="15"/>
      <c r="B138" s="141"/>
      <c r="C138" s="38" t="s">
        <v>1002</v>
      </c>
      <c r="D138" s="376" t="str">
        <f>IF(wd_7tyoth&lt;&gt;"",wd_7tyoth,"")</f>
        <v/>
      </c>
      <c r="E138" s="377"/>
      <c r="F138" s="377"/>
      <c r="G138" s="377"/>
      <c r="H138" s="378"/>
      <c r="I138" s="141"/>
      <c r="J138" s="29"/>
      <c r="K138" s="376" t="str">
        <f>IF(wd_8tyoth&lt;&gt;"",wd_8tyoth,"")</f>
        <v/>
      </c>
      <c r="L138" s="377"/>
      <c r="M138" s="377"/>
      <c r="N138" s="377"/>
      <c r="O138" s="378"/>
      <c r="P138" s="141"/>
      <c r="Q138" s="29"/>
      <c r="R138" s="376" t="str">
        <f>IF(wd_9tyoth&lt;&gt;"",wd_9tyoth,"")</f>
        <v/>
      </c>
      <c r="S138" s="377"/>
      <c r="T138" s="377"/>
      <c r="U138" s="377"/>
      <c r="V138" s="378"/>
      <c r="W138" s="141"/>
      <c r="X138" s="107"/>
    </row>
    <row r="139" spans="1:40" ht="5.0999999999999996" customHeight="1" x14ac:dyDescent="0.25">
      <c r="A139" s="15"/>
      <c r="B139" s="141"/>
      <c r="C139" s="141"/>
      <c r="D139" s="141"/>
      <c r="E139" s="141"/>
      <c r="F139" s="141"/>
      <c r="G139" s="141"/>
      <c r="H139" s="141"/>
      <c r="I139" s="141"/>
      <c r="J139" s="29"/>
      <c r="K139" s="141"/>
      <c r="L139" s="141"/>
      <c r="M139" s="141"/>
      <c r="N139" s="141"/>
      <c r="O139" s="141"/>
      <c r="P139" s="141"/>
      <c r="Q139" s="29"/>
      <c r="R139" s="141"/>
      <c r="S139" s="141"/>
      <c r="T139" s="141"/>
      <c r="U139" s="141"/>
      <c r="V139" s="141"/>
      <c r="W139" s="141"/>
      <c r="X139" s="107"/>
    </row>
    <row r="140" spans="1:40" s="62" customFormat="1" ht="32.1" customHeight="1" x14ac:dyDescent="0.25">
      <c r="A140" s="93"/>
      <c r="B140" s="86"/>
      <c r="C140" s="94" t="s">
        <v>353</v>
      </c>
      <c r="D140" s="376" t="str">
        <f>IF(Wnd7Cat&lt;&gt;"",Wnd7Cat,"")</f>
        <v/>
      </c>
      <c r="E140" s="377"/>
      <c r="F140" s="377"/>
      <c r="G140" s="377"/>
      <c r="H140" s="378"/>
      <c r="I140" s="86"/>
      <c r="J140" s="87"/>
      <c r="K140" s="376" t="str">
        <f>IF(Wnd8Cat&lt;&gt;"",Wnd8Cat,"")</f>
        <v/>
      </c>
      <c r="L140" s="377"/>
      <c r="M140" s="377"/>
      <c r="N140" s="377"/>
      <c r="O140" s="378"/>
      <c r="P140" s="86"/>
      <c r="Q140" s="87"/>
      <c r="R140" s="376" t="str">
        <f>IF(Wnd9Cat&lt;&gt;"",Wnd9Cat,"")</f>
        <v/>
      </c>
      <c r="S140" s="377"/>
      <c r="T140" s="377"/>
      <c r="U140" s="377"/>
      <c r="V140" s="378"/>
      <c r="W140" s="86"/>
      <c r="X140" s="109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</row>
    <row r="141" spans="1:40" s="62" customFormat="1" ht="5.0999999999999996" customHeight="1" x14ac:dyDescent="0.25">
      <c r="A141" s="93"/>
      <c r="B141" s="86"/>
      <c r="C141" s="86"/>
      <c r="D141" s="86"/>
      <c r="E141" s="86"/>
      <c r="F141" s="86"/>
      <c r="G141" s="86"/>
      <c r="H141" s="86"/>
      <c r="I141" s="86"/>
      <c r="J141" s="87"/>
      <c r="K141" s="86"/>
      <c r="L141" s="86"/>
      <c r="M141" s="86"/>
      <c r="N141" s="86"/>
      <c r="O141" s="86"/>
      <c r="P141" s="86"/>
      <c r="Q141" s="87"/>
      <c r="R141" s="86"/>
      <c r="S141" s="86"/>
      <c r="T141" s="86"/>
      <c r="U141" s="86"/>
      <c r="V141" s="86"/>
      <c r="W141" s="86"/>
      <c r="X141" s="109"/>
      <c r="Y141" s="85"/>
      <c r="Z141" s="85"/>
      <c r="AA141" s="24"/>
      <c r="AB141" s="24"/>
      <c r="AC141" s="85"/>
      <c r="AD141" s="85"/>
      <c r="AE141" s="85"/>
      <c r="AF141" s="85"/>
      <c r="AG141" s="85"/>
      <c r="AH141" s="85"/>
      <c r="AI141" s="85"/>
      <c r="AJ141" s="85"/>
      <c r="AK141" s="85"/>
      <c r="AL141" s="85"/>
      <c r="AM141" s="85"/>
      <c r="AN141" s="85"/>
    </row>
    <row r="142" spans="1:40" s="62" customFormat="1" ht="32.1" customHeight="1" x14ac:dyDescent="0.25">
      <c r="A142" s="93"/>
      <c r="B142" s="86"/>
      <c r="C142" s="94" t="s">
        <v>354</v>
      </c>
      <c r="D142" s="376" t="str">
        <f>IF(wd_7type&lt;&gt;"",wd_7type,"")</f>
        <v/>
      </c>
      <c r="E142" s="377"/>
      <c r="F142" s="377"/>
      <c r="G142" s="377"/>
      <c r="H142" s="378"/>
      <c r="I142" s="86"/>
      <c r="J142" s="87"/>
      <c r="K142" s="376" t="str">
        <f>IF(wd_8type&lt;&gt;"",wd_8type,"")</f>
        <v/>
      </c>
      <c r="L142" s="377"/>
      <c r="M142" s="377"/>
      <c r="N142" s="377"/>
      <c r="O142" s="378"/>
      <c r="P142" s="86"/>
      <c r="Q142" s="87"/>
      <c r="R142" s="376" t="str">
        <f>IF(wd_9type&lt;&gt;"",wd_9type,"")</f>
        <v/>
      </c>
      <c r="S142" s="377"/>
      <c r="T142" s="377"/>
      <c r="U142" s="377"/>
      <c r="V142" s="378"/>
      <c r="W142" s="86"/>
      <c r="X142" s="109"/>
      <c r="Y142" s="24"/>
      <c r="Z142" s="24"/>
      <c r="AA142" s="24"/>
      <c r="AB142" s="24"/>
      <c r="AC142" s="24"/>
      <c r="AD142" s="24"/>
      <c r="AE142" s="24"/>
      <c r="AF142" s="85"/>
      <c r="AG142" s="85"/>
      <c r="AH142" s="85"/>
      <c r="AI142" s="85"/>
      <c r="AJ142" s="85"/>
      <c r="AK142" s="85"/>
      <c r="AL142" s="85"/>
      <c r="AM142" s="85"/>
      <c r="AN142" s="85"/>
    </row>
    <row r="143" spans="1:40" s="62" customFormat="1" ht="5.0999999999999996" customHeight="1" x14ac:dyDescent="0.25">
      <c r="A143" s="93"/>
      <c r="B143" s="86"/>
      <c r="C143" s="86"/>
      <c r="D143" s="86"/>
      <c r="E143" s="86"/>
      <c r="F143" s="86"/>
      <c r="G143" s="86"/>
      <c r="H143" s="86"/>
      <c r="I143" s="86"/>
      <c r="J143" s="87"/>
      <c r="K143" s="86"/>
      <c r="L143" s="86"/>
      <c r="M143" s="86"/>
      <c r="N143" s="86"/>
      <c r="O143" s="86"/>
      <c r="P143" s="86"/>
      <c r="Q143" s="87"/>
      <c r="R143" s="86"/>
      <c r="S143" s="86"/>
      <c r="T143" s="86"/>
      <c r="U143" s="86"/>
      <c r="V143" s="86"/>
      <c r="W143" s="86"/>
      <c r="X143" s="109"/>
      <c r="Y143" s="85"/>
      <c r="Z143" s="85"/>
      <c r="AA143" s="85"/>
      <c r="AB143" s="85"/>
      <c r="AC143" s="85"/>
      <c r="AD143" s="85"/>
      <c r="AE143" s="85"/>
      <c r="AF143" s="85"/>
      <c r="AG143" s="85"/>
      <c r="AH143" s="85"/>
      <c r="AI143" s="85"/>
      <c r="AJ143" s="85"/>
      <c r="AK143" s="85"/>
      <c r="AL143" s="85"/>
      <c r="AM143" s="85"/>
      <c r="AN143" s="85"/>
    </row>
    <row r="144" spans="1:40" s="62" customFormat="1" ht="32.1" customHeight="1" x14ac:dyDescent="0.25">
      <c r="A144" s="93"/>
      <c r="B144" s="86"/>
      <c r="C144" s="94" t="s">
        <v>355</v>
      </c>
      <c r="D144" s="376" t="str">
        <f>IF(wd_7tysub&lt;&gt;"",wd_7tysub,"")</f>
        <v/>
      </c>
      <c r="E144" s="377"/>
      <c r="F144" s="377"/>
      <c r="G144" s="377"/>
      <c r="H144" s="378"/>
      <c r="I144" s="86"/>
      <c r="J144" s="87"/>
      <c r="K144" s="376" t="str">
        <f>IF(wd_8tysub&lt;&gt;"",wd_8tysub,"")</f>
        <v/>
      </c>
      <c r="L144" s="377"/>
      <c r="M144" s="377"/>
      <c r="N144" s="377"/>
      <c r="O144" s="378"/>
      <c r="P144" s="86"/>
      <c r="Q144" s="87"/>
      <c r="R144" s="376" t="str">
        <f>IF(wd_9tysub&lt;&gt;"",wd_9tysub,"")</f>
        <v/>
      </c>
      <c r="S144" s="377"/>
      <c r="T144" s="377"/>
      <c r="U144" s="377"/>
      <c r="V144" s="378"/>
      <c r="W144" s="86"/>
      <c r="X144" s="109"/>
      <c r="Y144" s="85"/>
      <c r="Z144" s="85"/>
      <c r="AA144" s="85"/>
      <c r="AB144" s="85"/>
      <c r="AC144" s="85"/>
      <c r="AD144" s="85"/>
      <c r="AE144" s="85"/>
      <c r="AF144" s="85"/>
      <c r="AG144" s="85"/>
      <c r="AH144" s="85"/>
      <c r="AI144" s="85"/>
      <c r="AJ144" s="85"/>
      <c r="AK144" s="85"/>
      <c r="AL144" s="85"/>
      <c r="AM144" s="85"/>
      <c r="AN144" s="85"/>
    </row>
    <row r="145" spans="1:24" ht="5.0999999999999996" customHeight="1" x14ac:dyDescent="0.25">
      <c r="A145" s="15"/>
      <c r="B145" s="141"/>
      <c r="C145" s="141"/>
      <c r="D145" s="141"/>
      <c r="E145" s="141"/>
      <c r="F145" s="141"/>
      <c r="G145" s="141"/>
      <c r="H145" s="141"/>
      <c r="I145" s="141"/>
      <c r="J145" s="29"/>
      <c r="K145" s="141"/>
      <c r="L145" s="141"/>
      <c r="M145" s="141"/>
      <c r="N145" s="141"/>
      <c r="O145" s="141"/>
      <c r="P145" s="141"/>
      <c r="Q145" s="29"/>
      <c r="R145" s="141"/>
      <c r="S145" s="141"/>
      <c r="T145" s="141"/>
      <c r="U145" s="141"/>
      <c r="V145" s="141"/>
      <c r="W145" s="141"/>
      <c r="X145" s="107"/>
    </row>
    <row r="146" spans="1:24" x14ac:dyDescent="0.25">
      <c r="A146" s="15"/>
      <c r="B146" s="141"/>
      <c r="C146" s="38" t="s">
        <v>142</v>
      </c>
      <c r="D146" s="294"/>
      <c r="E146" s="295"/>
      <c r="F146" s="295"/>
      <c r="G146" s="295"/>
      <c r="H146" s="296"/>
      <c r="I146" s="141"/>
      <c r="J146" s="29"/>
      <c r="K146" s="294"/>
      <c r="L146" s="295"/>
      <c r="M146" s="295"/>
      <c r="N146" s="295"/>
      <c r="O146" s="296"/>
      <c r="P146" s="141"/>
      <c r="Q146" s="29"/>
      <c r="R146" s="294"/>
      <c r="S146" s="295"/>
      <c r="T146" s="295"/>
      <c r="U146" s="295"/>
      <c r="V146" s="296"/>
      <c r="W146" s="141"/>
      <c r="X146" s="107"/>
    </row>
    <row r="147" spans="1:24" ht="3.95" customHeight="1" x14ac:dyDescent="0.25">
      <c r="A147" s="15"/>
      <c r="B147" s="141"/>
      <c r="C147" s="141"/>
      <c r="D147" s="141"/>
      <c r="E147" s="141"/>
      <c r="F147" s="141"/>
      <c r="G147" s="141"/>
      <c r="H147" s="141"/>
      <c r="I147" s="141"/>
      <c r="J147" s="29"/>
      <c r="K147" s="141"/>
      <c r="L147" s="141"/>
      <c r="M147" s="141"/>
      <c r="N147" s="141"/>
      <c r="O147" s="141"/>
      <c r="P147" s="141"/>
      <c r="Q147" s="29"/>
      <c r="R147" s="141"/>
      <c r="S147" s="141"/>
      <c r="T147" s="141"/>
      <c r="U147" s="141"/>
      <c r="V147" s="141"/>
      <c r="W147" s="141"/>
      <c r="X147" s="107"/>
    </row>
    <row r="148" spans="1:24" x14ac:dyDescent="0.25">
      <c r="A148" s="15"/>
      <c r="B148" s="141"/>
      <c r="C148" s="38" t="s">
        <v>143</v>
      </c>
      <c r="D148" s="294"/>
      <c r="E148" s="295"/>
      <c r="F148" s="296"/>
      <c r="G148" s="20"/>
      <c r="H148" s="20"/>
      <c r="I148" s="141"/>
      <c r="J148" s="29"/>
      <c r="K148" s="294"/>
      <c r="L148" s="295"/>
      <c r="M148" s="296"/>
      <c r="N148" s="20"/>
      <c r="O148" s="20"/>
      <c r="P148" s="141"/>
      <c r="Q148" s="29"/>
      <c r="R148" s="294"/>
      <c r="S148" s="295"/>
      <c r="T148" s="296"/>
      <c r="U148" s="20"/>
      <c r="V148" s="20"/>
      <c r="W148" s="141"/>
      <c r="X148" s="107"/>
    </row>
    <row r="149" spans="1:24" ht="3.95" customHeight="1" x14ac:dyDescent="0.25">
      <c r="A149" s="15"/>
      <c r="B149" s="141"/>
      <c r="C149" s="141"/>
      <c r="D149" s="141"/>
      <c r="E149" s="141"/>
      <c r="F149" s="24"/>
      <c r="G149" s="141"/>
      <c r="H149" s="141"/>
      <c r="I149" s="141"/>
      <c r="J149" s="29"/>
      <c r="K149" s="141"/>
      <c r="L149" s="141"/>
      <c r="M149" s="141"/>
      <c r="N149" s="141"/>
      <c r="O149" s="141"/>
      <c r="P149" s="141"/>
      <c r="Q149" s="29"/>
      <c r="R149" s="141"/>
      <c r="S149" s="141"/>
      <c r="T149" s="141"/>
      <c r="U149" s="141"/>
      <c r="V149" s="141"/>
      <c r="W149" s="141"/>
      <c r="X149" s="107"/>
    </row>
    <row r="150" spans="1:24" x14ac:dyDescent="0.25">
      <c r="A150" s="15"/>
      <c r="B150" s="141"/>
      <c r="C150" s="21" t="s">
        <v>144</v>
      </c>
      <c r="D150" s="83"/>
      <c r="E150" s="141"/>
      <c r="F150" s="83"/>
      <c r="G150" s="141"/>
      <c r="H150" s="83"/>
      <c r="I150" s="141"/>
      <c r="J150" s="29"/>
      <c r="K150" s="83"/>
      <c r="L150" s="141"/>
      <c r="M150" s="83"/>
      <c r="N150" s="141"/>
      <c r="O150" s="83"/>
      <c r="P150" s="141"/>
      <c r="Q150" s="29"/>
      <c r="R150" s="83"/>
      <c r="S150" s="141"/>
      <c r="T150" s="83"/>
      <c r="U150" s="141"/>
      <c r="V150" s="83"/>
      <c r="W150" s="141"/>
      <c r="X150" s="107"/>
    </row>
    <row r="151" spans="1:24" ht="3.95" customHeight="1" x14ac:dyDescent="0.25">
      <c r="A151" s="15"/>
      <c r="B151" s="141"/>
      <c r="C151" s="141"/>
      <c r="D151" s="141"/>
      <c r="E151" s="141"/>
      <c r="F151" s="141"/>
      <c r="G151" s="141"/>
      <c r="H151" s="141"/>
      <c r="I151" s="141"/>
      <c r="J151" s="29"/>
      <c r="K151" s="141"/>
      <c r="L151" s="141"/>
      <c r="M151" s="141"/>
      <c r="N151" s="141"/>
      <c r="O151" s="141"/>
      <c r="P151" s="141"/>
      <c r="Q151" s="29"/>
      <c r="R151" s="141"/>
      <c r="S151" s="141"/>
      <c r="T151" s="141"/>
      <c r="U151" s="141"/>
      <c r="V151" s="141"/>
      <c r="W151" s="141"/>
      <c r="X151" s="107"/>
    </row>
    <row r="152" spans="1:24" x14ac:dyDescent="0.25">
      <c r="A152" s="15"/>
      <c r="B152" s="141"/>
      <c r="C152" s="38" t="s">
        <v>145</v>
      </c>
      <c r="D152" s="83"/>
      <c r="E152" s="141"/>
      <c r="F152" s="288"/>
      <c r="G152" s="288"/>
      <c r="H152" s="288"/>
      <c r="I152" s="141"/>
      <c r="J152" s="29"/>
      <c r="K152" s="83"/>
      <c r="L152" s="141"/>
      <c r="M152" s="140"/>
      <c r="N152" s="141"/>
      <c r="O152" s="141"/>
      <c r="P152" s="141"/>
      <c r="Q152" s="29"/>
      <c r="R152" s="83"/>
      <c r="S152" s="141"/>
      <c r="T152" s="140"/>
      <c r="U152" s="141"/>
      <c r="V152" s="141"/>
      <c r="W152" s="141"/>
      <c r="X152" s="107"/>
    </row>
    <row r="153" spans="1:24" ht="3.95" customHeight="1" x14ac:dyDescent="0.25">
      <c r="A153" s="15"/>
      <c r="B153" s="141"/>
      <c r="C153" s="141"/>
      <c r="D153" s="141"/>
      <c r="E153" s="141"/>
      <c r="F153" s="288"/>
      <c r="G153" s="288"/>
      <c r="H153" s="288"/>
      <c r="I153" s="141"/>
      <c r="J153" s="29"/>
      <c r="K153" s="141"/>
      <c r="L153" s="141"/>
      <c r="M153" s="141"/>
      <c r="N153" s="141"/>
      <c r="O153" s="141"/>
      <c r="P153" s="141"/>
      <c r="Q153" s="29"/>
      <c r="R153" s="141"/>
      <c r="S153" s="141"/>
      <c r="T153" s="141"/>
      <c r="U153" s="141"/>
      <c r="V153" s="141"/>
      <c r="W153" s="141"/>
      <c r="X153" s="107"/>
    </row>
    <row r="154" spans="1:24" ht="16.5" customHeight="1" x14ac:dyDescent="0.25">
      <c r="A154" s="15"/>
      <c r="B154" s="141"/>
      <c r="C154" s="38" t="s">
        <v>146</v>
      </c>
      <c r="D154" s="83"/>
      <c r="E154" s="141"/>
      <c r="F154" s="288"/>
      <c r="G154" s="288"/>
      <c r="H154" s="288"/>
      <c r="I154" s="141"/>
      <c r="J154" s="29"/>
      <c r="K154" s="83"/>
      <c r="L154" s="141"/>
      <c r="M154" s="289"/>
      <c r="N154" s="289"/>
      <c r="O154" s="289"/>
      <c r="P154" s="141"/>
      <c r="Q154" s="29"/>
      <c r="R154" s="83"/>
      <c r="S154" s="141"/>
      <c r="T154" s="289"/>
      <c r="U154" s="289"/>
      <c r="V154" s="289"/>
      <c r="W154" s="141"/>
      <c r="X154" s="107"/>
    </row>
    <row r="155" spans="1:24" ht="3.95" customHeight="1" x14ac:dyDescent="0.25">
      <c r="A155" s="15"/>
      <c r="B155" s="141"/>
      <c r="C155" s="141"/>
      <c r="D155" s="141"/>
      <c r="E155" s="141"/>
      <c r="F155" s="95"/>
      <c r="G155" s="141"/>
      <c r="H155" s="141"/>
      <c r="I155" s="141"/>
      <c r="J155" s="29"/>
      <c r="K155" s="141"/>
      <c r="L155" s="141"/>
      <c r="M155" s="141"/>
      <c r="N155" s="141"/>
      <c r="O155" s="141"/>
      <c r="P155" s="141"/>
      <c r="Q155" s="29"/>
      <c r="R155" s="141"/>
      <c r="S155" s="141"/>
      <c r="T155" s="141"/>
      <c r="U155" s="141"/>
      <c r="V155" s="141"/>
      <c r="W155" s="141"/>
      <c r="X155" s="107"/>
    </row>
    <row r="156" spans="1:24" x14ac:dyDescent="0.25">
      <c r="A156" s="15"/>
      <c r="B156" s="141"/>
      <c r="C156" s="38" t="s">
        <v>147</v>
      </c>
      <c r="D156" s="278"/>
      <c r="E156" s="280"/>
      <c r="F156" s="372"/>
      <c r="G156" s="288"/>
      <c r="H156" s="288"/>
      <c r="I156" s="141"/>
      <c r="J156" s="29"/>
      <c r="K156" s="278"/>
      <c r="L156" s="280"/>
      <c r="M156" s="372"/>
      <c r="N156" s="288"/>
      <c r="O156" s="288"/>
      <c r="P156" s="141"/>
      <c r="Q156" s="29"/>
      <c r="R156" s="278"/>
      <c r="S156" s="280"/>
      <c r="T156" s="372"/>
      <c r="U156" s="288"/>
      <c r="V156" s="288"/>
      <c r="W156" s="141"/>
      <c r="X156" s="107"/>
    </row>
    <row r="157" spans="1:24" ht="3.95" customHeight="1" x14ac:dyDescent="0.25">
      <c r="A157" s="15"/>
      <c r="B157" s="141"/>
      <c r="C157" s="141"/>
      <c r="D157" s="141"/>
      <c r="E157" s="141"/>
      <c r="F157" s="141"/>
      <c r="G157" s="141"/>
      <c r="H157" s="141"/>
      <c r="I157" s="141"/>
      <c r="J157" s="29"/>
      <c r="K157" s="141"/>
      <c r="L157" s="141"/>
      <c r="M157" s="141"/>
      <c r="N157" s="141"/>
      <c r="O157" s="141"/>
      <c r="P157" s="141"/>
      <c r="Q157" s="29"/>
      <c r="R157" s="141"/>
      <c r="S157" s="141"/>
      <c r="T157" s="141"/>
      <c r="U157" s="141"/>
      <c r="V157" s="141"/>
      <c r="W157" s="141"/>
      <c r="X157" s="107"/>
    </row>
    <row r="158" spans="1:24" x14ac:dyDescent="0.25">
      <c r="A158" s="15"/>
      <c r="B158" s="141"/>
      <c r="C158" s="38" t="s">
        <v>148</v>
      </c>
      <c r="D158" s="30" t="s">
        <v>149</v>
      </c>
      <c r="E158" s="20"/>
      <c r="F158" s="30" t="s">
        <v>192</v>
      </c>
      <c r="G158" s="32"/>
      <c r="H158" s="20"/>
      <c r="I158" s="141"/>
      <c r="J158" s="29"/>
      <c r="K158" s="30" t="s">
        <v>149</v>
      </c>
      <c r="L158" s="20"/>
      <c r="M158" s="30" t="s">
        <v>338</v>
      </c>
      <c r="N158" s="32"/>
      <c r="O158" s="20"/>
      <c r="P158" s="141"/>
      <c r="Q158" s="29"/>
      <c r="R158" s="30" t="s">
        <v>149</v>
      </c>
      <c r="S158" s="20"/>
      <c r="T158" s="30" t="s">
        <v>338</v>
      </c>
      <c r="U158" s="32"/>
      <c r="V158" s="20"/>
      <c r="W158" s="141"/>
      <c r="X158" s="107"/>
    </row>
    <row r="159" spans="1:24" ht="16.5" customHeight="1" x14ac:dyDescent="0.25">
      <c r="A159" s="15"/>
      <c r="B159" s="141"/>
      <c r="C159" s="141"/>
      <c r="D159" s="33" t="s">
        <v>150</v>
      </c>
      <c r="E159" s="141"/>
      <c r="F159" s="34" t="s">
        <v>190</v>
      </c>
      <c r="G159" s="141"/>
      <c r="H159" s="141"/>
      <c r="I159" s="141"/>
      <c r="J159" s="29"/>
      <c r="K159" s="33" t="s">
        <v>150</v>
      </c>
      <c r="L159" s="141"/>
      <c r="M159" s="34" t="s">
        <v>437</v>
      </c>
      <c r="N159" s="141"/>
      <c r="O159" s="141"/>
      <c r="P159" s="141"/>
      <c r="Q159" s="29"/>
      <c r="R159" s="33" t="s">
        <v>150</v>
      </c>
      <c r="S159" s="141"/>
      <c r="T159" s="34" t="s">
        <v>437</v>
      </c>
      <c r="U159" s="141"/>
      <c r="V159" s="141"/>
      <c r="W159" s="141"/>
      <c r="X159" s="107"/>
    </row>
    <row r="160" spans="1:24" ht="16.5" customHeight="1" x14ac:dyDescent="0.25">
      <c r="A160" s="15"/>
      <c r="B160" s="141"/>
      <c r="C160" s="141"/>
      <c r="D160" s="90"/>
      <c r="E160" s="141"/>
      <c r="F160" s="34" t="s">
        <v>189</v>
      </c>
      <c r="G160" s="141"/>
      <c r="H160" s="141"/>
      <c r="I160" s="141"/>
      <c r="J160" s="29"/>
      <c r="K160" s="33"/>
      <c r="L160" s="141"/>
      <c r="M160" s="141" t="s">
        <v>337</v>
      </c>
      <c r="N160" s="141"/>
      <c r="O160" s="141"/>
      <c r="P160" s="141"/>
      <c r="Q160" s="29"/>
      <c r="R160" s="20"/>
      <c r="S160" s="141"/>
      <c r="T160" s="33" t="s">
        <v>337</v>
      </c>
      <c r="U160" s="141"/>
      <c r="V160" s="141"/>
      <c r="W160" s="141"/>
      <c r="X160" s="107"/>
    </row>
    <row r="161" spans="1:24" ht="3.95" customHeight="1" x14ac:dyDescent="0.25">
      <c r="A161" s="15"/>
      <c r="B161" s="141"/>
      <c r="C161" s="141"/>
      <c r="D161" s="141"/>
      <c r="E161" s="141"/>
      <c r="F161" s="141"/>
      <c r="G161" s="141"/>
      <c r="H161" s="141"/>
      <c r="I161" s="141"/>
      <c r="J161" s="29"/>
      <c r="K161" s="141"/>
      <c r="L161" s="141"/>
      <c r="M161" s="141"/>
      <c r="N161" s="141"/>
      <c r="O161" s="141"/>
      <c r="P161" s="141"/>
      <c r="Q161" s="29"/>
      <c r="R161" s="141"/>
      <c r="S161" s="141"/>
      <c r="T161" s="141"/>
      <c r="U161" s="141"/>
      <c r="V161" s="141"/>
      <c r="W161" s="141"/>
      <c r="X161" s="107"/>
    </row>
    <row r="162" spans="1:24" ht="16.5" customHeight="1" x14ac:dyDescent="0.25">
      <c r="A162" s="15"/>
      <c r="B162" s="141"/>
      <c r="C162" s="38" t="s">
        <v>151</v>
      </c>
      <c r="D162" s="30" t="s">
        <v>152</v>
      </c>
      <c r="E162" s="20"/>
      <c r="F162" s="20"/>
      <c r="G162" s="20"/>
      <c r="H162" s="20"/>
      <c r="I162" s="141"/>
      <c r="J162" s="29"/>
      <c r="K162" s="30" t="s">
        <v>152</v>
      </c>
      <c r="L162" s="20"/>
      <c r="M162" s="20"/>
      <c r="N162" s="20"/>
      <c r="O162" s="20"/>
      <c r="P162" s="141"/>
      <c r="Q162" s="29"/>
      <c r="R162" s="30" t="s">
        <v>152</v>
      </c>
      <c r="S162" s="20"/>
      <c r="T162" s="20"/>
      <c r="U162" s="20"/>
      <c r="V162" s="20"/>
      <c r="W162" s="141"/>
      <c r="X162" s="107"/>
    </row>
    <row r="163" spans="1:24" ht="16.5" customHeight="1" x14ac:dyDescent="0.25">
      <c r="A163" s="15"/>
      <c r="B163" s="141"/>
      <c r="C163" s="141"/>
      <c r="D163" s="33" t="s">
        <v>153</v>
      </c>
      <c r="E163" s="141"/>
      <c r="F163" s="141"/>
      <c r="G163" s="141"/>
      <c r="H163" s="141"/>
      <c r="I163" s="141"/>
      <c r="J163" s="29"/>
      <c r="K163" s="33" t="s">
        <v>153</v>
      </c>
      <c r="L163" s="141"/>
      <c r="M163" s="141"/>
      <c r="N163" s="141"/>
      <c r="O163" s="141"/>
      <c r="P163" s="141"/>
      <c r="Q163" s="29"/>
      <c r="R163" s="33" t="s">
        <v>153</v>
      </c>
      <c r="S163" s="141"/>
      <c r="T163" s="141"/>
      <c r="U163" s="141"/>
      <c r="V163" s="141"/>
      <c r="W163" s="141"/>
      <c r="X163" s="107"/>
    </row>
    <row r="164" spans="1:24" ht="16.5" customHeight="1" x14ac:dyDescent="0.25">
      <c r="A164" s="15"/>
      <c r="B164" s="141"/>
      <c r="C164" s="141"/>
      <c r="D164" s="33"/>
      <c r="E164" s="141"/>
      <c r="F164" s="141"/>
      <c r="G164" s="141"/>
      <c r="H164" s="141"/>
      <c r="I164" s="141"/>
      <c r="J164" s="29"/>
      <c r="K164" s="33"/>
      <c r="L164" s="141"/>
      <c r="M164" s="141"/>
      <c r="N164" s="141"/>
      <c r="O164" s="141"/>
      <c r="P164" s="141"/>
      <c r="Q164" s="29"/>
      <c r="R164" s="33"/>
      <c r="S164" s="141"/>
      <c r="T164" s="141"/>
      <c r="U164" s="141"/>
      <c r="V164" s="141"/>
      <c r="W164" s="141"/>
      <c r="X164" s="107"/>
    </row>
    <row r="165" spans="1:24" ht="3.95" customHeight="1" x14ac:dyDescent="0.25">
      <c r="A165" s="15"/>
      <c r="B165" s="141"/>
      <c r="C165" s="141"/>
      <c r="D165" s="141"/>
      <c r="E165" s="141"/>
      <c r="F165" s="141"/>
      <c r="G165" s="141"/>
      <c r="H165" s="141"/>
      <c r="I165" s="141"/>
      <c r="J165" s="29"/>
      <c r="K165" s="141"/>
      <c r="L165" s="141"/>
      <c r="M165" s="141"/>
      <c r="N165" s="141"/>
      <c r="O165" s="141"/>
      <c r="P165" s="141"/>
      <c r="Q165" s="29"/>
      <c r="R165" s="141"/>
      <c r="S165" s="141"/>
      <c r="T165" s="141"/>
      <c r="U165" s="141"/>
      <c r="V165" s="141"/>
      <c r="W165" s="141"/>
      <c r="X165" s="107"/>
    </row>
    <row r="166" spans="1:24" x14ac:dyDescent="0.25">
      <c r="A166" s="15"/>
      <c r="B166" s="141"/>
      <c r="C166" s="38" t="s">
        <v>2014</v>
      </c>
      <c r="D166" s="369"/>
      <c r="E166" s="370"/>
      <c r="F166" s="371"/>
      <c r="G166" s="96" t="s">
        <v>679</v>
      </c>
      <c r="H166" s="20"/>
      <c r="I166" s="96"/>
      <c r="J166" s="96"/>
      <c r="K166" s="369"/>
      <c r="L166" s="370"/>
      <c r="M166" s="371"/>
      <c r="N166" s="96" t="s">
        <v>679</v>
      </c>
      <c r="O166" s="20"/>
      <c r="P166" s="141"/>
      <c r="Q166" s="29"/>
      <c r="R166" s="369"/>
      <c r="S166" s="370"/>
      <c r="T166" s="371"/>
      <c r="U166" s="96" t="s">
        <v>679</v>
      </c>
      <c r="V166" s="20"/>
      <c r="W166" s="141"/>
      <c r="X166" s="107"/>
    </row>
    <row r="167" spans="1:24" ht="10.5" customHeight="1" thickBot="1" x14ac:dyDescent="0.3">
      <c r="A167" s="25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107"/>
    </row>
    <row r="168" spans="1:24" ht="14.25" customHeight="1" x14ac:dyDescent="0.25">
      <c r="A168" s="15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24"/>
      <c r="W168" s="24"/>
      <c r="X168" s="24"/>
    </row>
    <row r="169" spans="1:24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</row>
    <row r="170" spans="1:24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</row>
    <row r="171" spans="1:24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</row>
    <row r="172" spans="1:24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</row>
    <row r="173" spans="1:24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</row>
    <row r="174" spans="1:24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</row>
    <row r="175" spans="1:24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</row>
    <row r="176" spans="1:24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</row>
    <row r="177" spans="1:24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</row>
    <row r="178" spans="1:24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</row>
    <row r="179" spans="1:24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</row>
    <row r="180" spans="1:24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</row>
    <row r="181" spans="1:24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</row>
    <row r="182" spans="1:24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</row>
    <row r="183" spans="1:2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</row>
    <row r="184" spans="1:2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</row>
    <row r="185" spans="1:2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</row>
    <row r="186" spans="1:24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</row>
    <row r="187" spans="1:2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</row>
    <row r="188" spans="1:2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</row>
    <row r="189" spans="1:2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</row>
    <row r="190" spans="1:2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</row>
    <row r="191" spans="1:2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</row>
    <row r="192" spans="1:2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</row>
    <row r="193" spans="1:24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</row>
    <row r="194" spans="1:24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</row>
    <row r="195" spans="1:24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</row>
    <row r="196" spans="1:24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</row>
    <row r="197" spans="1:24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</row>
    <row r="198" spans="1:24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</row>
    <row r="199" spans="1:24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</row>
    <row r="200" spans="1:24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</row>
    <row r="201" spans="1:24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</row>
    <row r="202" spans="1:24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</row>
    <row r="203" spans="1:24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</row>
    <row r="204" spans="1:24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</row>
    <row r="205" spans="1:24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</row>
    <row r="206" spans="1:24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</row>
    <row r="207" spans="1:24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</row>
    <row r="208" spans="1:24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</row>
    <row r="209" spans="1:24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</row>
    <row r="210" spans="1:24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</row>
    <row r="211" spans="1:24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</row>
    <row r="212" spans="1:24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</row>
    <row r="213" spans="1:24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</row>
    <row r="214" spans="1:24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</row>
    <row r="215" spans="1:24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</row>
    <row r="216" spans="1:24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</row>
    <row r="217" spans="1:24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</row>
    <row r="218" spans="1:24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</row>
    <row r="219" spans="1:24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</row>
    <row r="220" spans="1:24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</row>
    <row r="221" spans="1:24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</row>
    <row r="222" spans="1:24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</row>
    <row r="223" spans="1:24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</row>
    <row r="224" spans="1:24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</row>
    <row r="225" spans="1:24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</row>
    <row r="226" spans="1:24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</row>
    <row r="227" spans="1:24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</row>
    <row r="228" spans="1:24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</row>
    <row r="229" spans="1:24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</row>
    <row r="230" spans="1:24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</row>
    <row r="231" spans="1:24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</row>
    <row r="232" spans="1:24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</row>
    <row r="233" spans="1:24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</row>
    <row r="234" spans="1:24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</row>
    <row r="235" spans="1:24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</row>
    <row r="236" spans="1:24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</row>
    <row r="237" spans="1:24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</row>
    <row r="238" spans="1:24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</row>
    <row r="239" spans="1:24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</row>
    <row r="240" spans="1:24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</row>
    <row r="241" spans="1:24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</row>
    <row r="242" spans="1:24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</row>
    <row r="243" spans="1:24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</row>
    <row r="244" spans="1:24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</row>
    <row r="245" spans="1:24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</row>
    <row r="246" spans="1:24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</row>
    <row r="247" spans="1:24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</row>
    <row r="248" spans="1:24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</row>
    <row r="249" spans="1:24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</row>
    <row r="250" spans="1:24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</row>
    <row r="251" spans="1:24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</row>
    <row r="252" spans="1:24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</row>
    <row r="253" spans="1:24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</row>
    <row r="254" spans="1:24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</row>
    <row r="255" spans="1:24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</row>
    <row r="256" spans="1:24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</row>
    <row r="257" spans="1:24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</row>
    <row r="258" spans="1:24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</row>
    <row r="259" spans="1:24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</row>
    <row r="260" spans="1:24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</row>
    <row r="261" spans="1:24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</row>
    <row r="262" spans="1:24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</row>
    <row r="263" spans="1:24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</row>
    <row r="264" spans="1:24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</row>
    <row r="265" spans="1:24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</row>
    <row r="266" spans="1:24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</row>
    <row r="267" spans="1:24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</row>
    <row r="268" spans="1:24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</row>
    <row r="269" spans="1:24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</row>
    <row r="270" spans="1:24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</row>
    <row r="271" spans="1:24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</row>
    <row r="272" spans="1:24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</row>
    <row r="273" spans="1:24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</row>
    <row r="274" spans="1:24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</row>
    <row r="275" spans="1:24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</row>
    <row r="276" spans="1:24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</row>
    <row r="277" spans="1:24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</row>
    <row r="278" spans="1:24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</row>
    <row r="279" spans="1:24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</row>
    <row r="280" spans="1:24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</row>
    <row r="281" spans="1:24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</row>
    <row r="282" spans="1:24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</row>
    <row r="283" spans="1:24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</row>
    <row r="284" spans="1:24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</row>
    <row r="285" spans="1:24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</row>
    <row r="286" spans="1:24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</row>
    <row r="287" spans="1:24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</row>
    <row r="288" spans="1:24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</row>
    <row r="289" spans="1:24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</row>
    <row r="290" spans="1:24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</row>
    <row r="291" spans="1:24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</row>
    <row r="292" spans="1:24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</row>
    <row r="293" spans="1:24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</row>
    <row r="294" spans="1:24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</row>
    <row r="295" spans="1:24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</row>
    <row r="296" spans="1:24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</row>
    <row r="297" spans="1:24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</row>
    <row r="298" spans="1:24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</row>
    <row r="299" spans="1:24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</row>
    <row r="300" spans="1:24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</row>
    <row r="301" spans="1:24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</row>
    <row r="302" spans="1:24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</row>
    <row r="303" spans="1:24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</row>
    <row r="304" spans="1:24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</row>
    <row r="305" spans="1:24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</row>
    <row r="306" spans="1:24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</row>
    <row r="307" spans="1:24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</row>
    <row r="308" spans="1:24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</row>
    <row r="309" spans="1:24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</row>
    <row r="310" spans="1:24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</row>
    <row r="311" spans="1:24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</row>
    <row r="312" spans="1:24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</row>
    <row r="313" spans="1:24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</row>
    <row r="314" spans="1:24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</row>
    <row r="315" spans="1:24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</row>
    <row r="316" spans="1:24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</row>
    <row r="317" spans="1:24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</row>
    <row r="318" spans="1:24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</row>
    <row r="319" spans="1:24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</row>
    <row r="320" spans="1:24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</row>
    <row r="321" spans="1:24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</row>
    <row r="322" spans="1:24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</row>
    <row r="323" spans="1:24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</row>
    <row r="324" spans="1:24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</row>
    <row r="325" spans="1:24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</row>
    <row r="326" spans="1:24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</row>
    <row r="327" spans="1:24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</row>
    <row r="328" spans="1:24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</row>
    <row r="329" spans="1:24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</row>
    <row r="330" spans="1:24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</row>
    <row r="331" spans="1:24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</row>
    <row r="332" spans="1:24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</row>
    <row r="333" spans="1:24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</row>
    <row r="334" spans="1:24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</row>
    <row r="335" spans="1:24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</row>
    <row r="336" spans="1:24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</row>
    <row r="337" spans="1:24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</row>
    <row r="338" spans="1:24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</row>
    <row r="339" spans="1:24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</row>
    <row r="340" spans="1:24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</row>
    <row r="341" spans="1:24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</row>
    <row r="342" spans="1:24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</row>
    <row r="343" spans="1:24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</row>
    <row r="344" spans="1:24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</row>
    <row r="345" spans="1:24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</row>
    <row r="346" spans="1:24" x14ac:dyDescent="0.25">
      <c r="V346" s="24"/>
      <c r="W346" s="24"/>
      <c r="X346" s="24"/>
    </row>
    <row r="347" spans="1:24" x14ac:dyDescent="0.25">
      <c r="V347" s="24"/>
      <c r="W347" s="24"/>
      <c r="X347" s="24"/>
    </row>
    <row r="348" spans="1:24" x14ac:dyDescent="0.25">
      <c r="V348" s="24"/>
      <c r="W348" s="24"/>
      <c r="X348" s="24"/>
    </row>
    <row r="349" spans="1:24" x14ac:dyDescent="0.25">
      <c r="V349" s="24"/>
      <c r="W349" s="24"/>
      <c r="X349" s="24"/>
    </row>
    <row r="350" spans="1:24" x14ac:dyDescent="0.25">
      <c r="V350" s="24"/>
      <c r="W350" s="24"/>
      <c r="X350" s="24"/>
    </row>
    <row r="351" spans="1:24" x14ac:dyDescent="0.25">
      <c r="V351" s="24"/>
      <c r="W351" s="24"/>
      <c r="X351" s="24"/>
    </row>
    <row r="352" spans="1:24" x14ac:dyDescent="0.25">
      <c r="V352" s="24"/>
      <c r="W352" s="24"/>
      <c r="X352" s="24"/>
    </row>
    <row r="353" spans="22:24" x14ac:dyDescent="0.25">
      <c r="V353" s="24"/>
      <c r="W353" s="24"/>
      <c r="X353" s="24"/>
    </row>
    <row r="354" spans="22:24" x14ac:dyDescent="0.25">
      <c r="V354" s="24"/>
      <c r="W354" s="24"/>
      <c r="X354" s="24"/>
    </row>
    <row r="355" spans="22:24" x14ac:dyDescent="0.25">
      <c r="V355" s="24"/>
      <c r="W355" s="24"/>
      <c r="X355" s="24"/>
    </row>
    <row r="356" spans="22:24" x14ac:dyDescent="0.25">
      <c r="V356" s="24"/>
      <c r="W356" s="24"/>
      <c r="X356" s="24"/>
    </row>
    <row r="357" spans="22:24" x14ac:dyDescent="0.25">
      <c r="V357" s="24"/>
      <c r="W357" s="24"/>
      <c r="X357" s="24"/>
    </row>
    <row r="358" spans="22:24" x14ac:dyDescent="0.25">
      <c r="V358" s="24"/>
      <c r="W358" s="24"/>
      <c r="X358" s="24"/>
    </row>
    <row r="359" spans="22:24" x14ac:dyDescent="0.25">
      <c r="V359" s="24"/>
      <c r="W359" s="24"/>
      <c r="X359" s="24"/>
    </row>
    <row r="360" spans="22:24" x14ac:dyDescent="0.25">
      <c r="V360" s="24"/>
      <c r="W360" s="24"/>
      <c r="X360" s="24"/>
    </row>
    <row r="361" spans="22:24" x14ac:dyDescent="0.25">
      <c r="V361" s="24"/>
      <c r="W361" s="24"/>
      <c r="X361" s="24"/>
    </row>
    <row r="362" spans="22:24" x14ac:dyDescent="0.25">
      <c r="V362" s="24"/>
      <c r="W362" s="24"/>
      <c r="X362" s="24"/>
    </row>
    <row r="363" spans="22:24" x14ac:dyDescent="0.25">
      <c r="V363" s="24"/>
      <c r="W363" s="24"/>
      <c r="X363" s="24"/>
    </row>
    <row r="364" spans="22:24" x14ac:dyDescent="0.25">
      <c r="V364" s="24"/>
      <c r="W364" s="24"/>
      <c r="X364" s="24"/>
    </row>
    <row r="365" spans="22:24" x14ac:dyDescent="0.25">
      <c r="V365" s="24"/>
      <c r="W365" s="24"/>
      <c r="X365" s="24"/>
    </row>
    <row r="366" spans="22:24" x14ac:dyDescent="0.25">
      <c r="V366" s="24"/>
      <c r="W366" s="24"/>
      <c r="X366" s="24"/>
    </row>
    <row r="367" spans="22:24" x14ac:dyDescent="0.25">
      <c r="V367" s="24"/>
      <c r="W367" s="24"/>
      <c r="X367" s="24"/>
    </row>
    <row r="368" spans="22:24" x14ac:dyDescent="0.25">
      <c r="V368" s="24"/>
      <c r="W368" s="24"/>
      <c r="X368" s="24"/>
    </row>
    <row r="369" spans="22:24" x14ac:dyDescent="0.25">
      <c r="V369" s="24"/>
      <c r="W369" s="24"/>
      <c r="X369" s="24"/>
    </row>
    <row r="370" spans="22:24" x14ac:dyDescent="0.25">
      <c r="V370" s="24"/>
      <c r="W370" s="24"/>
      <c r="X370" s="24"/>
    </row>
    <row r="371" spans="22:24" x14ac:dyDescent="0.25">
      <c r="V371" s="24"/>
      <c r="W371" s="24"/>
      <c r="X371" s="24"/>
    </row>
    <row r="372" spans="22:24" x14ac:dyDescent="0.25">
      <c r="V372" s="24"/>
      <c r="W372" s="24"/>
      <c r="X372" s="24"/>
    </row>
    <row r="373" spans="22:24" x14ac:dyDescent="0.25">
      <c r="V373" s="24"/>
      <c r="W373" s="24"/>
      <c r="X373" s="24"/>
    </row>
    <row r="374" spans="22:24" x14ac:dyDescent="0.25">
      <c r="V374" s="24"/>
      <c r="W374" s="24"/>
      <c r="X374" s="24"/>
    </row>
    <row r="375" spans="22:24" x14ac:dyDescent="0.25">
      <c r="V375" s="24"/>
      <c r="W375" s="24"/>
      <c r="X375" s="24"/>
    </row>
    <row r="376" spans="22:24" x14ac:dyDescent="0.25">
      <c r="V376" s="24"/>
      <c r="W376" s="24"/>
      <c r="X376" s="24"/>
    </row>
    <row r="377" spans="22:24" x14ac:dyDescent="0.25">
      <c r="V377" s="24"/>
      <c r="W377" s="24"/>
      <c r="X377" s="24"/>
    </row>
    <row r="378" spans="22:24" x14ac:dyDescent="0.25">
      <c r="V378" s="24"/>
      <c r="W378" s="24"/>
      <c r="X378" s="24"/>
    </row>
    <row r="379" spans="22:24" x14ac:dyDescent="0.25">
      <c r="V379" s="24"/>
      <c r="W379" s="24"/>
      <c r="X379" s="24"/>
    </row>
    <row r="380" spans="22:24" x14ac:dyDescent="0.25">
      <c r="V380" s="24"/>
      <c r="W380" s="24"/>
      <c r="X380" s="24"/>
    </row>
    <row r="381" spans="22:24" x14ac:dyDescent="0.25">
      <c r="V381" s="24"/>
      <c r="W381" s="24"/>
      <c r="X381" s="24"/>
    </row>
    <row r="382" spans="22:24" x14ac:dyDescent="0.25">
      <c r="V382" s="24"/>
      <c r="W382" s="24"/>
      <c r="X382" s="24"/>
    </row>
    <row r="383" spans="22:24" x14ac:dyDescent="0.25">
      <c r="V383" s="24"/>
      <c r="W383" s="24"/>
      <c r="X383" s="24"/>
    </row>
    <row r="384" spans="22:24" x14ac:dyDescent="0.25">
      <c r="V384" s="24"/>
      <c r="W384" s="24"/>
      <c r="X384" s="24"/>
    </row>
    <row r="385" spans="22:24" x14ac:dyDescent="0.25">
      <c r="V385" s="24"/>
      <c r="W385" s="24"/>
      <c r="X385" s="24"/>
    </row>
    <row r="386" spans="22:24" x14ac:dyDescent="0.25">
      <c r="V386" s="24"/>
      <c r="W386" s="24"/>
      <c r="X386" s="24"/>
    </row>
    <row r="387" spans="22:24" x14ac:dyDescent="0.25">
      <c r="V387" s="24"/>
      <c r="W387" s="24"/>
      <c r="X387" s="24"/>
    </row>
    <row r="388" spans="22:24" x14ac:dyDescent="0.25">
      <c r="V388" s="24"/>
      <c r="W388" s="24"/>
      <c r="X388" s="24"/>
    </row>
    <row r="389" spans="22:24" x14ac:dyDescent="0.25">
      <c r="V389" s="24"/>
      <c r="W389" s="24"/>
      <c r="X389" s="24"/>
    </row>
    <row r="390" spans="22:24" x14ac:dyDescent="0.25">
      <c r="V390" s="24"/>
      <c r="W390" s="24"/>
      <c r="X390" s="24"/>
    </row>
    <row r="391" spans="22:24" x14ac:dyDescent="0.25">
      <c r="V391" s="24"/>
      <c r="W391" s="24"/>
      <c r="X391" s="24"/>
    </row>
    <row r="392" spans="22:24" x14ac:dyDescent="0.25">
      <c r="V392" s="24"/>
      <c r="W392" s="24"/>
      <c r="X392" s="24"/>
    </row>
    <row r="393" spans="22:24" x14ac:dyDescent="0.25">
      <c r="V393" s="24"/>
      <c r="W393" s="24"/>
      <c r="X393" s="24"/>
    </row>
    <row r="394" spans="22:24" x14ac:dyDescent="0.25">
      <c r="V394" s="24"/>
      <c r="W394" s="24"/>
      <c r="X394" s="24"/>
    </row>
    <row r="395" spans="22:24" x14ac:dyDescent="0.25">
      <c r="V395" s="24"/>
      <c r="W395" s="24"/>
      <c r="X395" s="24"/>
    </row>
    <row r="396" spans="22:24" x14ac:dyDescent="0.25">
      <c r="V396" s="24"/>
      <c r="W396" s="24"/>
      <c r="X396" s="24"/>
    </row>
    <row r="397" spans="22:24" x14ac:dyDescent="0.25">
      <c r="V397" s="24"/>
      <c r="W397" s="24"/>
      <c r="X397" s="24"/>
    </row>
    <row r="398" spans="22:24" x14ac:dyDescent="0.25">
      <c r="V398" s="24"/>
      <c r="W398" s="24"/>
      <c r="X398" s="24"/>
    </row>
    <row r="399" spans="22:24" x14ac:dyDescent="0.25">
      <c r="V399" s="24"/>
      <c r="W399" s="24"/>
      <c r="X399" s="24"/>
    </row>
    <row r="400" spans="22:24" x14ac:dyDescent="0.25">
      <c r="V400" s="24"/>
      <c r="W400" s="24"/>
      <c r="X400" s="24"/>
    </row>
    <row r="401" spans="22:24" x14ac:dyDescent="0.25">
      <c r="V401" s="24"/>
      <c r="W401" s="24"/>
      <c r="X401" s="24"/>
    </row>
    <row r="402" spans="22:24" x14ac:dyDescent="0.25">
      <c r="V402" s="24"/>
      <c r="W402" s="24"/>
      <c r="X402" s="24"/>
    </row>
    <row r="403" spans="22:24" x14ac:dyDescent="0.25">
      <c r="V403" s="24"/>
      <c r="W403" s="24"/>
      <c r="X403" s="24"/>
    </row>
    <row r="404" spans="22:24" x14ac:dyDescent="0.25">
      <c r="V404" s="24"/>
      <c r="W404" s="24"/>
      <c r="X404" s="24"/>
    </row>
    <row r="405" spans="22:24" x14ac:dyDescent="0.25">
      <c r="V405" s="24"/>
      <c r="W405" s="24"/>
      <c r="X405" s="24"/>
    </row>
    <row r="406" spans="22:24" x14ac:dyDescent="0.25">
      <c r="V406" s="24"/>
      <c r="W406" s="24"/>
      <c r="X406" s="24"/>
    </row>
    <row r="407" spans="22:24" x14ac:dyDescent="0.25">
      <c r="V407" s="24"/>
      <c r="W407" s="24"/>
      <c r="X407" s="24"/>
    </row>
    <row r="408" spans="22:24" x14ac:dyDescent="0.25">
      <c r="V408" s="24"/>
      <c r="W408" s="24"/>
      <c r="X408" s="24"/>
    </row>
    <row r="409" spans="22:24" x14ac:dyDescent="0.25">
      <c r="V409" s="24"/>
      <c r="W409" s="24"/>
      <c r="X409" s="24"/>
    </row>
    <row r="410" spans="22:24" x14ac:dyDescent="0.25">
      <c r="V410" s="24"/>
      <c r="W410" s="24"/>
      <c r="X410" s="24"/>
    </row>
    <row r="411" spans="22:24" x14ac:dyDescent="0.25">
      <c r="V411" s="24"/>
      <c r="W411" s="24"/>
      <c r="X411" s="24"/>
    </row>
    <row r="412" spans="22:24" x14ac:dyDescent="0.25">
      <c r="V412" s="24"/>
      <c r="W412" s="24"/>
      <c r="X412" s="24"/>
    </row>
    <row r="413" spans="22:24" x14ac:dyDescent="0.25">
      <c r="V413" s="24"/>
      <c r="W413" s="24"/>
      <c r="X413" s="24"/>
    </row>
    <row r="414" spans="22:24" x14ac:dyDescent="0.25">
      <c r="V414" s="24"/>
      <c r="W414" s="24"/>
      <c r="X414" s="24"/>
    </row>
    <row r="415" spans="22:24" x14ac:dyDescent="0.25">
      <c r="V415" s="24"/>
      <c r="W415" s="24"/>
      <c r="X415" s="24"/>
    </row>
    <row r="416" spans="22:24" x14ac:dyDescent="0.25">
      <c r="V416" s="24"/>
      <c r="W416" s="24"/>
      <c r="X416" s="24"/>
    </row>
    <row r="417" spans="22:24" x14ac:dyDescent="0.25">
      <c r="V417" s="24"/>
      <c r="W417" s="24"/>
      <c r="X417" s="24"/>
    </row>
    <row r="418" spans="22:24" x14ac:dyDescent="0.25">
      <c r="V418" s="24"/>
      <c r="W418" s="24"/>
      <c r="X418" s="24"/>
    </row>
    <row r="419" spans="22:24" x14ac:dyDescent="0.25">
      <c r="V419" s="24"/>
      <c r="W419" s="24"/>
      <c r="X419" s="24"/>
    </row>
    <row r="420" spans="22:24" x14ac:dyDescent="0.25">
      <c r="V420" s="24"/>
      <c r="W420" s="24"/>
      <c r="X420" s="24"/>
    </row>
    <row r="421" spans="22:24" x14ac:dyDescent="0.25">
      <c r="V421" s="24"/>
      <c r="W421" s="24"/>
      <c r="X421" s="24"/>
    </row>
    <row r="422" spans="22:24" x14ac:dyDescent="0.25">
      <c r="V422" s="24"/>
      <c r="W422" s="24"/>
      <c r="X422" s="24"/>
    </row>
    <row r="423" spans="22:24" x14ac:dyDescent="0.25">
      <c r="V423" s="24"/>
      <c r="W423" s="24"/>
      <c r="X423" s="24"/>
    </row>
    <row r="424" spans="22:24" x14ac:dyDescent="0.25">
      <c r="V424" s="24"/>
      <c r="W424" s="24"/>
      <c r="X424" s="24"/>
    </row>
    <row r="425" spans="22:24" x14ac:dyDescent="0.25">
      <c r="V425" s="24"/>
      <c r="W425" s="24"/>
      <c r="X425" s="24"/>
    </row>
    <row r="426" spans="22:24" x14ac:dyDescent="0.25">
      <c r="V426" s="24"/>
      <c r="W426" s="24"/>
      <c r="X426" s="24"/>
    </row>
    <row r="427" spans="22:24" x14ac:dyDescent="0.25">
      <c r="V427" s="24"/>
      <c r="W427" s="24"/>
      <c r="X427" s="24"/>
    </row>
    <row r="428" spans="22:24" x14ac:dyDescent="0.25">
      <c r="V428" s="24"/>
      <c r="W428" s="24"/>
      <c r="X428" s="24"/>
    </row>
    <row r="429" spans="22:24" x14ac:dyDescent="0.25">
      <c r="V429" s="24"/>
      <c r="W429" s="24"/>
      <c r="X429" s="24"/>
    </row>
    <row r="430" spans="22:24" x14ac:dyDescent="0.25">
      <c r="V430" s="24"/>
      <c r="W430" s="24"/>
      <c r="X430" s="24"/>
    </row>
    <row r="431" spans="22:24" x14ac:dyDescent="0.25">
      <c r="V431" s="24"/>
      <c r="W431" s="24"/>
      <c r="X431" s="24"/>
    </row>
    <row r="432" spans="22:24" x14ac:dyDescent="0.25">
      <c r="V432" s="24"/>
      <c r="W432" s="24"/>
      <c r="X432" s="24"/>
    </row>
    <row r="433" spans="22:24" x14ac:dyDescent="0.25">
      <c r="V433" s="24"/>
      <c r="W433" s="24"/>
      <c r="X433" s="24"/>
    </row>
    <row r="434" spans="22:24" x14ac:dyDescent="0.25">
      <c r="V434" s="24"/>
      <c r="W434" s="24"/>
      <c r="X434" s="24"/>
    </row>
    <row r="435" spans="22:24" x14ac:dyDescent="0.25">
      <c r="V435" s="24"/>
      <c r="W435" s="24"/>
      <c r="X435" s="24"/>
    </row>
    <row r="436" spans="22:24" x14ac:dyDescent="0.25">
      <c r="V436" s="24"/>
      <c r="W436" s="24"/>
      <c r="X436" s="24"/>
    </row>
    <row r="437" spans="22:24" x14ac:dyDescent="0.25">
      <c r="V437" s="24"/>
      <c r="W437" s="24"/>
      <c r="X437" s="24"/>
    </row>
    <row r="438" spans="22:24" x14ac:dyDescent="0.25">
      <c r="V438" s="24"/>
      <c r="W438" s="24"/>
      <c r="X438" s="24"/>
    </row>
    <row r="439" spans="22:24" x14ac:dyDescent="0.25">
      <c r="V439" s="24"/>
      <c r="W439" s="24"/>
      <c r="X439" s="24"/>
    </row>
    <row r="440" spans="22:24" x14ac:dyDescent="0.25">
      <c r="V440" s="24"/>
      <c r="W440" s="24"/>
      <c r="X440" s="24"/>
    </row>
    <row r="441" spans="22:24" x14ac:dyDescent="0.25">
      <c r="V441" s="24"/>
      <c r="W441" s="24"/>
      <c r="X441" s="24"/>
    </row>
    <row r="442" spans="22:24" x14ac:dyDescent="0.25">
      <c r="V442" s="24"/>
      <c r="W442" s="24"/>
      <c r="X442" s="24"/>
    </row>
    <row r="443" spans="22:24" x14ac:dyDescent="0.25">
      <c r="V443" s="24"/>
      <c r="W443" s="24"/>
      <c r="X443" s="24"/>
    </row>
    <row r="444" spans="22:24" x14ac:dyDescent="0.25">
      <c r="V444" s="24"/>
      <c r="W444" s="24"/>
      <c r="X444" s="24"/>
    </row>
    <row r="445" spans="22:24" x14ac:dyDescent="0.25">
      <c r="V445" s="24"/>
      <c r="W445" s="24"/>
      <c r="X445" s="24"/>
    </row>
    <row r="446" spans="22:24" x14ac:dyDescent="0.25">
      <c r="V446" s="24"/>
      <c r="W446" s="24"/>
      <c r="X446" s="24"/>
    </row>
    <row r="447" spans="22:24" x14ac:dyDescent="0.25">
      <c r="V447" s="24"/>
      <c r="W447" s="24"/>
      <c r="X447" s="24"/>
    </row>
    <row r="448" spans="22:24" x14ac:dyDescent="0.25">
      <c r="V448" s="24"/>
      <c r="W448" s="24"/>
      <c r="X448" s="24"/>
    </row>
    <row r="449" spans="22:24" x14ac:dyDescent="0.25">
      <c r="V449" s="24"/>
      <c r="W449" s="24"/>
      <c r="X449" s="24"/>
    </row>
    <row r="450" spans="22:24" x14ac:dyDescent="0.25">
      <c r="V450" s="24"/>
      <c r="W450" s="24"/>
      <c r="X450" s="24"/>
    </row>
    <row r="451" spans="22:24" x14ac:dyDescent="0.25">
      <c r="V451" s="24"/>
      <c r="W451" s="24"/>
      <c r="X451" s="24"/>
    </row>
    <row r="452" spans="22:24" x14ac:dyDescent="0.25">
      <c r="V452" s="24"/>
      <c r="W452" s="24"/>
      <c r="X452" s="24"/>
    </row>
    <row r="453" spans="22:24" x14ac:dyDescent="0.25">
      <c r="V453" s="24"/>
      <c r="W453" s="24"/>
      <c r="X453" s="24"/>
    </row>
    <row r="454" spans="22:24" x14ac:dyDescent="0.25">
      <c r="V454" s="24"/>
      <c r="W454" s="24"/>
      <c r="X454" s="24"/>
    </row>
    <row r="455" spans="22:24" x14ac:dyDescent="0.25">
      <c r="V455" s="24"/>
      <c r="W455" s="24"/>
      <c r="X455" s="24"/>
    </row>
    <row r="456" spans="22:24" x14ac:dyDescent="0.25">
      <c r="V456" s="24"/>
      <c r="W456" s="24"/>
      <c r="X456" s="24"/>
    </row>
    <row r="457" spans="22:24" x14ac:dyDescent="0.25">
      <c r="V457" s="24"/>
      <c r="W457" s="24"/>
      <c r="X457" s="24"/>
    </row>
    <row r="458" spans="22:24" x14ac:dyDescent="0.25">
      <c r="V458" s="24"/>
      <c r="W458" s="24"/>
      <c r="X458" s="24"/>
    </row>
    <row r="459" spans="22:24" x14ac:dyDescent="0.25">
      <c r="V459" s="24"/>
      <c r="W459" s="24"/>
      <c r="X459" s="24"/>
    </row>
    <row r="460" spans="22:24" x14ac:dyDescent="0.25">
      <c r="V460" s="24"/>
      <c r="W460" s="24"/>
      <c r="X460" s="24"/>
    </row>
    <row r="461" spans="22:24" x14ac:dyDescent="0.25">
      <c r="V461" s="24"/>
      <c r="W461" s="24"/>
      <c r="X461" s="24"/>
    </row>
    <row r="462" spans="22:24" x14ac:dyDescent="0.25">
      <c r="V462" s="24"/>
      <c r="W462" s="24"/>
      <c r="X462" s="24"/>
    </row>
    <row r="463" spans="22:24" x14ac:dyDescent="0.25">
      <c r="V463" s="24"/>
      <c r="W463" s="24"/>
      <c r="X463" s="24"/>
    </row>
    <row r="464" spans="22:24" x14ac:dyDescent="0.25">
      <c r="V464" s="24"/>
      <c r="W464" s="24"/>
      <c r="X464" s="24"/>
    </row>
    <row r="465" spans="22:24" x14ac:dyDescent="0.25">
      <c r="V465" s="24"/>
      <c r="W465" s="24"/>
      <c r="X465" s="24"/>
    </row>
    <row r="466" spans="22:24" x14ac:dyDescent="0.25">
      <c r="V466" s="24"/>
      <c r="W466" s="24"/>
      <c r="X466" s="24"/>
    </row>
    <row r="467" spans="22:24" x14ac:dyDescent="0.25">
      <c r="V467" s="24"/>
      <c r="W467" s="24"/>
      <c r="X467" s="24"/>
    </row>
    <row r="468" spans="22:24" x14ac:dyDescent="0.25">
      <c r="V468" s="24"/>
      <c r="W468" s="24"/>
      <c r="X468" s="24"/>
    </row>
    <row r="469" spans="22:24" x14ac:dyDescent="0.25">
      <c r="V469" s="24"/>
      <c r="W469" s="24"/>
      <c r="X469" s="24"/>
    </row>
    <row r="470" spans="22:24" x14ac:dyDescent="0.25">
      <c r="V470" s="24"/>
      <c r="W470" s="24"/>
      <c r="X470" s="24"/>
    </row>
    <row r="471" spans="22:24" x14ac:dyDescent="0.25">
      <c r="V471" s="24"/>
      <c r="W471" s="24"/>
      <c r="X471" s="24"/>
    </row>
    <row r="472" spans="22:24" x14ac:dyDescent="0.25">
      <c r="V472" s="24"/>
      <c r="W472" s="24"/>
      <c r="X472" s="24"/>
    </row>
    <row r="473" spans="22:24" x14ac:dyDescent="0.25">
      <c r="V473" s="24"/>
      <c r="W473" s="24"/>
      <c r="X473" s="24"/>
    </row>
    <row r="474" spans="22:24" x14ac:dyDescent="0.25">
      <c r="V474" s="24"/>
      <c r="W474" s="24"/>
      <c r="X474" s="24"/>
    </row>
    <row r="475" spans="22:24" x14ac:dyDescent="0.25">
      <c r="V475" s="24"/>
      <c r="W475" s="24"/>
      <c r="X475" s="24"/>
    </row>
    <row r="476" spans="22:24" x14ac:dyDescent="0.25">
      <c r="V476" s="24"/>
      <c r="W476" s="24"/>
      <c r="X476" s="24"/>
    </row>
    <row r="477" spans="22:24" x14ac:dyDescent="0.25">
      <c r="V477" s="24"/>
      <c r="W477" s="24"/>
      <c r="X477" s="24"/>
    </row>
    <row r="478" spans="22:24" x14ac:dyDescent="0.25">
      <c r="V478" s="24"/>
      <c r="W478" s="24"/>
      <c r="X478" s="24"/>
    </row>
    <row r="479" spans="22:24" x14ac:dyDescent="0.25">
      <c r="V479" s="24"/>
      <c r="W479" s="24"/>
      <c r="X479" s="24"/>
    </row>
    <row r="480" spans="22:24" x14ac:dyDescent="0.25">
      <c r="V480" s="24"/>
      <c r="W480" s="24"/>
      <c r="X480" s="24"/>
    </row>
    <row r="481" spans="22:24" x14ac:dyDescent="0.25">
      <c r="V481" s="24"/>
      <c r="W481" s="24"/>
      <c r="X481" s="24"/>
    </row>
    <row r="482" spans="22:24" x14ac:dyDescent="0.25">
      <c r="V482" s="24"/>
      <c r="W482" s="24"/>
      <c r="X482" s="24"/>
    </row>
    <row r="483" spans="22:24" x14ac:dyDescent="0.25">
      <c r="V483" s="24"/>
      <c r="W483" s="24"/>
      <c r="X483" s="24"/>
    </row>
    <row r="484" spans="22:24" x14ac:dyDescent="0.25">
      <c r="V484" s="24"/>
      <c r="W484" s="24"/>
      <c r="X484" s="24"/>
    </row>
    <row r="485" spans="22:24" x14ac:dyDescent="0.25">
      <c r="V485" s="24"/>
      <c r="W485" s="24"/>
      <c r="X485" s="24"/>
    </row>
    <row r="486" spans="22:24" x14ac:dyDescent="0.25">
      <c r="V486" s="24"/>
      <c r="W486" s="24"/>
      <c r="X486" s="24"/>
    </row>
    <row r="487" spans="22:24" x14ac:dyDescent="0.25">
      <c r="V487" s="24"/>
      <c r="W487" s="24"/>
      <c r="X487" s="24"/>
    </row>
    <row r="488" spans="22:24" x14ac:dyDescent="0.25">
      <c r="V488" s="24"/>
      <c r="W488" s="24"/>
      <c r="X488" s="24"/>
    </row>
    <row r="489" spans="22:24" x14ac:dyDescent="0.25">
      <c r="V489" s="24"/>
      <c r="W489" s="24"/>
      <c r="X489" s="24"/>
    </row>
    <row r="490" spans="22:24" x14ac:dyDescent="0.25">
      <c r="V490" s="24"/>
      <c r="W490" s="24"/>
      <c r="X490" s="24"/>
    </row>
    <row r="491" spans="22:24" x14ac:dyDescent="0.25">
      <c r="V491" s="24"/>
      <c r="W491" s="24"/>
      <c r="X491" s="24"/>
    </row>
    <row r="492" spans="22:24" x14ac:dyDescent="0.25">
      <c r="V492" s="24"/>
      <c r="W492" s="24"/>
      <c r="X492" s="24"/>
    </row>
    <row r="493" spans="22:24" x14ac:dyDescent="0.25">
      <c r="V493" s="24"/>
      <c r="W493" s="24"/>
      <c r="X493" s="24"/>
    </row>
    <row r="494" spans="22:24" x14ac:dyDescent="0.25">
      <c r="V494" s="24"/>
      <c r="W494" s="24"/>
      <c r="X494" s="24"/>
    </row>
    <row r="495" spans="22:24" x14ac:dyDescent="0.25">
      <c r="V495" s="24"/>
      <c r="W495" s="24"/>
      <c r="X495" s="24"/>
    </row>
    <row r="496" spans="22:24" x14ac:dyDescent="0.25">
      <c r="V496" s="24"/>
      <c r="W496" s="24"/>
      <c r="X496" s="24"/>
    </row>
    <row r="497" spans="22:24" x14ac:dyDescent="0.25">
      <c r="V497" s="24"/>
      <c r="W497" s="24"/>
      <c r="X497" s="24"/>
    </row>
    <row r="498" spans="22:24" x14ac:dyDescent="0.25">
      <c r="V498" s="24"/>
      <c r="W498" s="24"/>
      <c r="X498" s="24"/>
    </row>
    <row r="499" spans="22:24" x14ac:dyDescent="0.25">
      <c r="V499" s="24"/>
      <c r="W499" s="24"/>
      <c r="X499" s="24"/>
    </row>
    <row r="500" spans="22:24" x14ac:dyDescent="0.25">
      <c r="V500" s="24"/>
      <c r="W500" s="24"/>
      <c r="X500" s="24"/>
    </row>
    <row r="501" spans="22:24" x14ac:dyDescent="0.25">
      <c r="V501" s="24"/>
      <c r="W501" s="24"/>
      <c r="X501" s="24"/>
    </row>
    <row r="502" spans="22:24" x14ac:dyDescent="0.25">
      <c r="V502" s="24"/>
      <c r="W502" s="24"/>
      <c r="X502" s="24"/>
    </row>
    <row r="503" spans="22:24" x14ac:dyDescent="0.25">
      <c r="V503" s="24"/>
      <c r="W503" s="24"/>
      <c r="X503" s="24"/>
    </row>
    <row r="504" spans="22:24" x14ac:dyDescent="0.25">
      <c r="V504" s="24"/>
      <c r="W504" s="24"/>
      <c r="X504" s="24"/>
    </row>
    <row r="505" spans="22:24" x14ac:dyDescent="0.25">
      <c r="V505" s="24"/>
      <c r="W505" s="24"/>
      <c r="X505" s="24"/>
    </row>
    <row r="506" spans="22:24" x14ac:dyDescent="0.25">
      <c r="V506" s="24"/>
      <c r="W506" s="24"/>
      <c r="X506" s="24"/>
    </row>
    <row r="507" spans="22:24" x14ac:dyDescent="0.25">
      <c r="V507" s="24"/>
      <c r="W507" s="24"/>
      <c r="X507" s="24"/>
    </row>
    <row r="508" spans="22:24" x14ac:dyDescent="0.25">
      <c r="V508" s="24"/>
      <c r="W508" s="24"/>
      <c r="X508" s="24"/>
    </row>
    <row r="509" spans="22:24" x14ac:dyDescent="0.25">
      <c r="V509" s="24"/>
      <c r="W509" s="24"/>
      <c r="X509" s="24"/>
    </row>
    <row r="510" spans="22:24" x14ac:dyDescent="0.25">
      <c r="V510" s="24"/>
      <c r="W510" s="24"/>
      <c r="X510" s="24"/>
    </row>
    <row r="511" spans="22:24" x14ac:dyDescent="0.25">
      <c r="V511" s="24"/>
      <c r="W511" s="24"/>
      <c r="X511" s="24"/>
    </row>
    <row r="512" spans="22:24" x14ac:dyDescent="0.25">
      <c r="V512" s="24"/>
      <c r="W512" s="24"/>
      <c r="X512" s="24"/>
    </row>
    <row r="513" spans="22:24" x14ac:dyDescent="0.25">
      <c r="V513" s="24"/>
      <c r="W513" s="24"/>
      <c r="X513" s="24"/>
    </row>
    <row r="514" spans="22:24" x14ac:dyDescent="0.25">
      <c r="V514" s="24"/>
      <c r="W514" s="24"/>
      <c r="X514" s="24"/>
    </row>
    <row r="515" spans="22:24" x14ac:dyDescent="0.25">
      <c r="V515" s="24"/>
      <c r="W515" s="24"/>
      <c r="X515" s="24"/>
    </row>
    <row r="516" spans="22:24" x14ac:dyDescent="0.25">
      <c r="V516" s="24"/>
      <c r="W516" s="24"/>
      <c r="X516" s="24"/>
    </row>
    <row r="517" spans="22:24" x14ac:dyDescent="0.25">
      <c r="V517" s="24"/>
      <c r="W517" s="24"/>
      <c r="X517" s="24"/>
    </row>
    <row r="518" spans="22:24" x14ac:dyDescent="0.25">
      <c r="V518" s="24"/>
      <c r="W518" s="24"/>
      <c r="X518" s="24"/>
    </row>
    <row r="519" spans="22:24" x14ac:dyDescent="0.25">
      <c r="V519" s="24"/>
      <c r="W519" s="24"/>
      <c r="X519" s="24"/>
    </row>
    <row r="520" spans="22:24" x14ac:dyDescent="0.25">
      <c r="V520" s="24"/>
      <c r="W520" s="24"/>
      <c r="X520" s="24"/>
    </row>
    <row r="521" spans="22:24" x14ac:dyDescent="0.25">
      <c r="V521" s="24"/>
      <c r="W521" s="24"/>
      <c r="X521" s="24"/>
    </row>
    <row r="522" spans="22:24" x14ac:dyDescent="0.25">
      <c r="V522" s="24"/>
      <c r="W522" s="24"/>
      <c r="X522" s="24"/>
    </row>
    <row r="523" spans="22:24" x14ac:dyDescent="0.25">
      <c r="V523" s="24"/>
      <c r="W523" s="24"/>
      <c r="X523" s="24"/>
    </row>
    <row r="524" spans="22:24" x14ac:dyDescent="0.25">
      <c r="V524" s="24"/>
      <c r="W524" s="24"/>
      <c r="X524" s="24"/>
    </row>
    <row r="525" spans="22:24" x14ac:dyDescent="0.25">
      <c r="V525" s="24"/>
      <c r="W525" s="24"/>
      <c r="X525" s="24"/>
    </row>
    <row r="526" spans="22:24" x14ac:dyDescent="0.25">
      <c r="V526" s="24"/>
      <c r="W526" s="24"/>
      <c r="X526" s="24"/>
    </row>
    <row r="527" spans="22:24" x14ac:dyDescent="0.25">
      <c r="V527" s="24"/>
      <c r="W527" s="24"/>
      <c r="X527" s="24"/>
    </row>
    <row r="528" spans="22:24" x14ac:dyDescent="0.25">
      <c r="V528" s="24"/>
      <c r="W528" s="24"/>
      <c r="X528" s="24"/>
    </row>
    <row r="529" spans="22:24" x14ac:dyDescent="0.25">
      <c r="V529" s="24"/>
      <c r="W529" s="24"/>
      <c r="X529" s="24"/>
    </row>
    <row r="530" spans="22:24" x14ac:dyDescent="0.25">
      <c r="V530" s="24"/>
      <c r="W530" s="24"/>
      <c r="X530" s="24"/>
    </row>
    <row r="531" spans="22:24" x14ac:dyDescent="0.25">
      <c r="V531" s="24"/>
      <c r="W531" s="24"/>
      <c r="X531" s="24"/>
    </row>
    <row r="532" spans="22:24" x14ac:dyDescent="0.25">
      <c r="V532" s="24"/>
      <c r="W532" s="24"/>
      <c r="X532" s="24"/>
    </row>
    <row r="533" spans="22:24" x14ac:dyDescent="0.25">
      <c r="V533" s="24"/>
      <c r="W533" s="24"/>
      <c r="X533" s="24"/>
    </row>
    <row r="534" spans="22:24" x14ac:dyDescent="0.25">
      <c r="V534" s="24"/>
      <c r="W534" s="24"/>
      <c r="X534" s="24"/>
    </row>
    <row r="535" spans="22:24" x14ac:dyDescent="0.25">
      <c r="V535" s="24"/>
      <c r="W535" s="24"/>
      <c r="X535" s="24"/>
    </row>
    <row r="536" spans="22:24" x14ac:dyDescent="0.25">
      <c r="V536" s="24"/>
      <c r="W536" s="24"/>
      <c r="X536" s="24"/>
    </row>
    <row r="537" spans="22:24" x14ac:dyDescent="0.25">
      <c r="V537" s="24"/>
      <c r="W537" s="24"/>
      <c r="X537" s="24"/>
    </row>
    <row r="538" spans="22:24" x14ac:dyDescent="0.25">
      <c r="V538" s="24"/>
      <c r="W538" s="24"/>
      <c r="X538" s="24"/>
    </row>
    <row r="539" spans="22:24" x14ac:dyDescent="0.25">
      <c r="V539" s="24"/>
      <c r="W539" s="24"/>
      <c r="X539" s="24"/>
    </row>
    <row r="540" spans="22:24" x14ac:dyDescent="0.25">
      <c r="V540" s="24"/>
      <c r="W540" s="24"/>
      <c r="X540" s="24"/>
    </row>
    <row r="541" spans="22:24" x14ac:dyDescent="0.25">
      <c r="V541" s="24"/>
      <c r="W541" s="24"/>
      <c r="X541" s="24"/>
    </row>
    <row r="542" spans="22:24" x14ac:dyDescent="0.25">
      <c r="V542" s="24"/>
      <c r="W542" s="24"/>
      <c r="X542" s="24"/>
    </row>
    <row r="543" spans="22:24" x14ac:dyDescent="0.25">
      <c r="V543" s="24"/>
      <c r="W543" s="24"/>
      <c r="X543" s="24"/>
    </row>
    <row r="544" spans="22:24" x14ac:dyDescent="0.25">
      <c r="V544" s="24"/>
      <c r="W544" s="24"/>
      <c r="X544" s="24"/>
    </row>
    <row r="545" spans="22:24" x14ac:dyDescent="0.25">
      <c r="V545" s="24"/>
      <c r="W545" s="24"/>
      <c r="X545" s="24"/>
    </row>
    <row r="546" spans="22:24" x14ac:dyDescent="0.25">
      <c r="V546" s="24"/>
      <c r="W546" s="24"/>
      <c r="X546" s="24"/>
    </row>
    <row r="547" spans="22:24" x14ac:dyDescent="0.25">
      <c r="V547" s="24"/>
      <c r="W547" s="24"/>
      <c r="X547" s="24"/>
    </row>
    <row r="548" spans="22:24" x14ac:dyDescent="0.25">
      <c r="V548" s="24"/>
      <c r="W548" s="24"/>
      <c r="X548" s="24"/>
    </row>
    <row r="549" spans="22:24" x14ac:dyDescent="0.25">
      <c r="V549" s="24"/>
      <c r="W549" s="24"/>
      <c r="X549" s="24"/>
    </row>
    <row r="550" spans="22:24" x14ac:dyDescent="0.25">
      <c r="V550" s="24"/>
      <c r="W550" s="24"/>
      <c r="X550" s="24"/>
    </row>
    <row r="551" spans="22:24" x14ac:dyDescent="0.25">
      <c r="V551" s="24"/>
      <c r="W551" s="24"/>
      <c r="X551" s="24"/>
    </row>
    <row r="552" spans="22:24" x14ac:dyDescent="0.25">
      <c r="V552" s="24"/>
      <c r="W552" s="24"/>
      <c r="X552" s="24"/>
    </row>
    <row r="553" spans="22:24" x14ac:dyDescent="0.25">
      <c r="V553" s="24"/>
      <c r="W553" s="24"/>
      <c r="X553" s="24"/>
    </row>
    <row r="554" spans="22:24" x14ac:dyDescent="0.25">
      <c r="V554" s="24"/>
      <c r="W554" s="24"/>
      <c r="X554" s="24"/>
    </row>
    <row r="555" spans="22:24" x14ac:dyDescent="0.25">
      <c r="V555" s="24"/>
      <c r="W555" s="24"/>
      <c r="X555" s="24"/>
    </row>
    <row r="556" spans="22:24" x14ac:dyDescent="0.25">
      <c r="V556" s="24"/>
      <c r="W556" s="24"/>
      <c r="X556" s="24"/>
    </row>
    <row r="557" spans="22:24" x14ac:dyDescent="0.25">
      <c r="V557" s="24"/>
      <c r="W557" s="24"/>
      <c r="X557" s="24"/>
    </row>
    <row r="558" spans="22:24" x14ac:dyDescent="0.25">
      <c r="V558" s="24"/>
      <c r="W558" s="24"/>
      <c r="X558" s="24"/>
    </row>
    <row r="559" spans="22:24" x14ac:dyDescent="0.25">
      <c r="V559" s="24"/>
      <c r="W559" s="24"/>
      <c r="X559" s="24"/>
    </row>
    <row r="560" spans="22:24" x14ac:dyDescent="0.25">
      <c r="V560" s="24"/>
      <c r="W560" s="24"/>
      <c r="X560" s="24"/>
    </row>
    <row r="561" spans="22:24" x14ac:dyDescent="0.25">
      <c r="V561" s="24"/>
      <c r="W561" s="24"/>
      <c r="X561" s="24"/>
    </row>
    <row r="562" spans="22:24" x14ac:dyDescent="0.25">
      <c r="V562" s="24"/>
      <c r="W562" s="24"/>
      <c r="X562" s="24"/>
    </row>
    <row r="563" spans="22:24" x14ac:dyDescent="0.25">
      <c r="V563" s="24"/>
      <c r="W563" s="24"/>
      <c r="X563" s="24"/>
    </row>
    <row r="564" spans="22:24" x14ac:dyDescent="0.25">
      <c r="V564" s="24"/>
      <c r="W564" s="24"/>
      <c r="X564" s="24"/>
    </row>
    <row r="565" spans="22:24" x14ac:dyDescent="0.25">
      <c r="V565" s="24"/>
      <c r="W565" s="24"/>
      <c r="X565" s="24"/>
    </row>
    <row r="566" spans="22:24" x14ac:dyDescent="0.25">
      <c r="V566" s="24"/>
      <c r="W566" s="24"/>
      <c r="X566" s="24"/>
    </row>
    <row r="567" spans="22:24" x14ac:dyDescent="0.25">
      <c r="V567" s="24"/>
      <c r="W567" s="24"/>
      <c r="X567" s="24"/>
    </row>
    <row r="568" spans="22:24" x14ac:dyDescent="0.25">
      <c r="V568" s="24"/>
      <c r="W568" s="24"/>
      <c r="X568" s="24"/>
    </row>
    <row r="569" spans="22:24" x14ac:dyDescent="0.25">
      <c r="V569" s="24"/>
      <c r="W569" s="24"/>
      <c r="X569" s="24"/>
    </row>
    <row r="570" spans="22:24" x14ac:dyDescent="0.25">
      <c r="V570" s="24"/>
      <c r="W570" s="24"/>
      <c r="X570" s="24"/>
    </row>
    <row r="571" spans="22:24" x14ac:dyDescent="0.25">
      <c r="V571" s="24"/>
      <c r="W571" s="24"/>
      <c r="X571" s="24"/>
    </row>
    <row r="572" spans="22:24" x14ac:dyDescent="0.25">
      <c r="V572" s="24"/>
      <c r="W572" s="24"/>
      <c r="X572" s="24"/>
    </row>
    <row r="573" spans="22:24" x14ac:dyDescent="0.25">
      <c r="V573" s="24"/>
      <c r="W573" s="24"/>
      <c r="X573" s="24"/>
    </row>
    <row r="574" spans="22:24" x14ac:dyDescent="0.25">
      <c r="V574" s="24"/>
      <c r="W574" s="24"/>
      <c r="X574" s="24"/>
    </row>
    <row r="575" spans="22:24" x14ac:dyDescent="0.25">
      <c r="V575" s="24"/>
      <c r="W575" s="24"/>
      <c r="X575" s="24"/>
    </row>
    <row r="576" spans="22:24" x14ac:dyDescent="0.25">
      <c r="V576" s="24"/>
      <c r="W576" s="24"/>
      <c r="X576" s="24"/>
    </row>
    <row r="577" spans="22:24" x14ac:dyDescent="0.25">
      <c r="V577" s="24"/>
      <c r="W577" s="24"/>
      <c r="X577" s="24"/>
    </row>
    <row r="578" spans="22:24" x14ac:dyDescent="0.25">
      <c r="V578" s="24"/>
      <c r="W578" s="24"/>
      <c r="X578" s="24"/>
    </row>
    <row r="579" spans="22:24" x14ac:dyDescent="0.25">
      <c r="V579" s="24"/>
      <c r="W579" s="24"/>
      <c r="X579" s="24"/>
    </row>
    <row r="580" spans="22:24" x14ac:dyDescent="0.25">
      <c r="V580" s="24"/>
      <c r="W580" s="24"/>
      <c r="X580" s="24"/>
    </row>
    <row r="581" spans="22:24" x14ac:dyDescent="0.25">
      <c r="V581" s="24"/>
      <c r="W581" s="24"/>
      <c r="X581" s="24"/>
    </row>
    <row r="582" spans="22:24" x14ac:dyDescent="0.25">
      <c r="V582" s="24"/>
      <c r="W582" s="24"/>
      <c r="X582" s="24"/>
    </row>
    <row r="583" spans="22:24" x14ac:dyDescent="0.25">
      <c r="V583" s="24"/>
      <c r="W583" s="24"/>
      <c r="X583" s="24"/>
    </row>
    <row r="584" spans="22:24" x14ac:dyDescent="0.25">
      <c r="V584" s="24"/>
      <c r="W584" s="24"/>
      <c r="X584" s="24"/>
    </row>
    <row r="585" spans="22:24" x14ac:dyDescent="0.25">
      <c r="V585" s="24"/>
      <c r="W585" s="24"/>
      <c r="X585" s="24"/>
    </row>
    <row r="586" spans="22:24" x14ac:dyDescent="0.25">
      <c r="V586" s="24"/>
      <c r="W586" s="24"/>
      <c r="X586" s="24"/>
    </row>
    <row r="587" spans="22:24" x14ac:dyDescent="0.25">
      <c r="V587" s="24"/>
      <c r="W587" s="24"/>
      <c r="X587" s="24"/>
    </row>
    <row r="588" spans="22:24" x14ac:dyDescent="0.25">
      <c r="V588" s="24"/>
      <c r="W588" s="24"/>
      <c r="X588" s="24"/>
    </row>
    <row r="589" spans="22:24" x14ac:dyDescent="0.25">
      <c r="V589" s="24"/>
      <c r="W589" s="24"/>
      <c r="X589" s="24"/>
    </row>
    <row r="590" spans="22:24" x14ac:dyDescent="0.25">
      <c r="V590" s="24"/>
      <c r="W590" s="24"/>
      <c r="X590" s="24"/>
    </row>
    <row r="591" spans="22:24" x14ac:dyDescent="0.25">
      <c r="V591" s="24"/>
      <c r="W591" s="24"/>
      <c r="X591" s="24"/>
    </row>
    <row r="592" spans="22:24" x14ac:dyDescent="0.25">
      <c r="V592" s="24"/>
      <c r="W592" s="24"/>
      <c r="X592" s="24"/>
    </row>
    <row r="593" spans="22:24" x14ac:dyDescent="0.25">
      <c r="V593" s="24"/>
      <c r="W593" s="24"/>
      <c r="X593" s="24"/>
    </row>
    <row r="594" spans="22:24" x14ac:dyDescent="0.25">
      <c r="V594" s="24"/>
      <c r="W594" s="24"/>
      <c r="X594" s="24"/>
    </row>
    <row r="595" spans="22:24" x14ac:dyDescent="0.25">
      <c r="V595" s="24"/>
      <c r="W595" s="24"/>
      <c r="X595" s="24"/>
    </row>
    <row r="596" spans="22:24" x14ac:dyDescent="0.25">
      <c r="V596" s="24"/>
      <c r="W596" s="24"/>
      <c r="X596" s="24"/>
    </row>
    <row r="597" spans="22:24" x14ac:dyDescent="0.25">
      <c r="V597" s="24"/>
      <c r="W597" s="24"/>
      <c r="X597" s="24"/>
    </row>
    <row r="598" spans="22:24" x14ac:dyDescent="0.25">
      <c r="V598" s="24"/>
      <c r="W598" s="24"/>
      <c r="X598" s="24"/>
    </row>
    <row r="599" spans="22:24" x14ac:dyDescent="0.25">
      <c r="V599" s="24"/>
      <c r="W599" s="24"/>
      <c r="X599" s="24"/>
    </row>
    <row r="600" spans="22:24" x14ac:dyDescent="0.25">
      <c r="V600" s="24"/>
      <c r="W600" s="24"/>
      <c r="X600" s="24"/>
    </row>
    <row r="601" spans="22:24" x14ac:dyDescent="0.25">
      <c r="V601" s="24"/>
      <c r="W601" s="24"/>
      <c r="X601" s="24"/>
    </row>
    <row r="602" spans="22:24" x14ac:dyDescent="0.25">
      <c r="V602" s="24"/>
      <c r="W602" s="24"/>
      <c r="X602" s="24"/>
    </row>
    <row r="603" spans="22:24" x14ac:dyDescent="0.25">
      <c r="V603" s="24"/>
      <c r="W603" s="24"/>
      <c r="X603" s="24"/>
    </row>
    <row r="604" spans="22:24" x14ac:dyDescent="0.25">
      <c r="V604" s="24"/>
      <c r="W604" s="24"/>
      <c r="X604" s="24"/>
    </row>
    <row r="605" spans="22:24" x14ac:dyDescent="0.25">
      <c r="V605" s="24"/>
      <c r="W605" s="24"/>
      <c r="X605" s="24"/>
    </row>
    <row r="606" spans="22:24" x14ac:dyDescent="0.25">
      <c r="V606" s="24"/>
      <c r="W606" s="24"/>
      <c r="X606" s="24"/>
    </row>
    <row r="607" spans="22:24" x14ac:dyDescent="0.25">
      <c r="V607" s="24"/>
      <c r="W607" s="24"/>
      <c r="X607" s="24"/>
    </row>
    <row r="608" spans="22:24" x14ac:dyDescent="0.25">
      <c r="V608" s="24"/>
      <c r="W608" s="24"/>
      <c r="X608" s="24"/>
    </row>
    <row r="609" spans="22:24" x14ac:dyDescent="0.25">
      <c r="V609" s="24"/>
      <c r="W609" s="24"/>
      <c r="X609" s="24"/>
    </row>
    <row r="610" spans="22:24" x14ac:dyDescent="0.25">
      <c r="V610" s="24"/>
      <c r="W610" s="24"/>
      <c r="X610" s="24"/>
    </row>
    <row r="611" spans="22:24" x14ac:dyDescent="0.25">
      <c r="V611" s="24"/>
      <c r="W611" s="24"/>
      <c r="X611" s="24"/>
    </row>
    <row r="612" spans="22:24" x14ac:dyDescent="0.25">
      <c r="V612" s="24"/>
      <c r="W612" s="24"/>
      <c r="X612" s="24"/>
    </row>
    <row r="613" spans="22:24" x14ac:dyDescent="0.25">
      <c r="V613" s="24"/>
      <c r="W613" s="24"/>
      <c r="X613" s="24"/>
    </row>
    <row r="614" spans="22:24" x14ac:dyDescent="0.25">
      <c r="V614" s="24"/>
      <c r="W614" s="24"/>
      <c r="X614" s="24"/>
    </row>
    <row r="615" spans="22:24" x14ac:dyDescent="0.25">
      <c r="V615" s="24"/>
      <c r="W615" s="24"/>
      <c r="X615" s="24"/>
    </row>
    <row r="616" spans="22:24" x14ac:dyDescent="0.25">
      <c r="V616" s="24"/>
      <c r="W616" s="24"/>
      <c r="X616" s="24"/>
    </row>
    <row r="617" spans="22:24" x14ac:dyDescent="0.25">
      <c r="V617" s="24"/>
      <c r="W617" s="24"/>
      <c r="X617" s="24"/>
    </row>
    <row r="618" spans="22:24" x14ac:dyDescent="0.25">
      <c r="V618" s="24"/>
      <c r="W618" s="24"/>
      <c r="X618" s="24"/>
    </row>
    <row r="619" spans="22:24" x14ac:dyDescent="0.25">
      <c r="V619" s="24"/>
      <c r="W619" s="24"/>
      <c r="X619" s="24"/>
    </row>
    <row r="620" spans="22:24" x14ac:dyDescent="0.25">
      <c r="V620" s="24"/>
      <c r="W620" s="24"/>
      <c r="X620" s="24"/>
    </row>
    <row r="621" spans="22:24" x14ac:dyDescent="0.25">
      <c r="V621" s="24"/>
      <c r="W621" s="24"/>
      <c r="X621" s="24"/>
    </row>
    <row r="622" spans="22:24" x14ac:dyDescent="0.25">
      <c r="V622" s="24"/>
      <c r="W622" s="24"/>
      <c r="X622" s="24"/>
    </row>
    <row r="623" spans="22:24" x14ac:dyDescent="0.25">
      <c r="V623" s="24"/>
      <c r="W623" s="24"/>
      <c r="X623" s="24"/>
    </row>
    <row r="624" spans="22:24" x14ac:dyDescent="0.25">
      <c r="V624" s="24"/>
      <c r="W624" s="24"/>
      <c r="X624" s="24"/>
    </row>
    <row r="625" spans="22:24" x14ac:dyDescent="0.25">
      <c r="V625" s="24"/>
      <c r="W625" s="24"/>
      <c r="X625" s="24"/>
    </row>
    <row r="626" spans="22:24" x14ac:dyDescent="0.25">
      <c r="V626" s="24"/>
      <c r="W626" s="24"/>
      <c r="X626" s="24"/>
    </row>
    <row r="627" spans="22:24" x14ac:dyDescent="0.25">
      <c r="V627" s="24"/>
      <c r="W627" s="24"/>
      <c r="X627" s="24"/>
    </row>
    <row r="628" spans="22:24" x14ac:dyDescent="0.25">
      <c r="V628" s="24"/>
      <c r="W628" s="24"/>
      <c r="X628" s="24"/>
    </row>
    <row r="629" spans="22:24" x14ac:dyDescent="0.25">
      <c r="V629" s="24"/>
      <c r="W629" s="24"/>
      <c r="X629" s="24"/>
    </row>
    <row r="630" spans="22:24" x14ac:dyDescent="0.25">
      <c r="V630" s="24"/>
      <c r="W630" s="24"/>
      <c r="X630" s="24"/>
    </row>
    <row r="631" spans="22:24" x14ac:dyDescent="0.25">
      <c r="V631" s="24"/>
      <c r="W631" s="24"/>
      <c r="X631" s="24"/>
    </row>
    <row r="632" spans="22:24" x14ac:dyDescent="0.25">
      <c r="V632" s="24"/>
      <c r="W632" s="24"/>
      <c r="X632" s="24"/>
    </row>
    <row r="633" spans="22:24" x14ac:dyDescent="0.25">
      <c r="V633" s="24"/>
      <c r="W633" s="24"/>
      <c r="X633" s="24"/>
    </row>
    <row r="634" spans="22:24" x14ac:dyDescent="0.25">
      <c r="V634" s="24"/>
      <c r="W634" s="24"/>
      <c r="X634" s="24"/>
    </row>
    <row r="635" spans="22:24" x14ac:dyDescent="0.25">
      <c r="V635" s="24"/>
      <c r="W635" s="24"/>
      <c r="X635" s="24"/>
    </row>
    <row r="636" spans="22:24" x14ac:dyDescent="0.25">
      <c r="V636" s="24"/>
      <c r="W636" s="24"/>
      <c r="X636" s="24"/>
    </row>
    <row r="637" spans="22:24" x14ac:dyDescent="0.25">
      <c r="V637" s="24"/>
      <c r="W637" s="24"/>
      <c r="X637" s="24"/>
    </row>
    <row r="638" spans="22:24" x14ac:dyDescent="0.25">
      <c r="V638" s="24"/>
      <c r="W638" s="24"/>
      <c r="X638" s="24"/>
    </row>
    <row r="639" spans="22:24" x14ac:dyDescent="0.25">
      <c r="V639" s="24"/>
      <c r="W639" s="24"/>
      <c r="X639" s="24"/>
    </row>
    <row r="640" spans="22:24" x14ac:dyDescent="0.25">
      <c r="V640" s="24"/>
      <c r="W640" s="24"/>
      <c r="X640" s="24"/>
    </row>
    <row r="641" spans="22:24" x14ac:dyDescent="0.25">
      <c r="V641" s="24"/>
      <c r="W641" s="24"/>
      <c r="X641" s="24"/>
    </row>
    <row r="642" spans="22:24" x14ac:dyDescent="0.25">
      <c r="V642" s="24"/>
      <c r="W642" s="24"/>
      <c r="X642" s="24"/>
    </row>
    <row r="643" spans="22:24" x14ac:dyDescent="0.25">
      <c r="V643" s="24"/>
      <c r="W643" s="24"/>
      <c r="X643" s="24"/>
    </row>
    <row r="644" spans="22:24" x14ac:dyDescent="0.25">
      <c r="V644" s="24"/>
      <c r="W644" s="24"/>
      <c r="X644" s="24"/>
    </row>
    <row r="645" spans="22:24" x14ac:dyDescent="0.25">
      <c r="V645" s="24"/>
      <c r="W645" s="24"/>
      <c r="X645" s="24"/>
    </row>
    <row r="646" spans="22:24" x14ac:dyDescent="0.25">
      <c r="V646" s="24"/>
      <c r="W646" s="24"/>
      <c r="X646" s="24"/>
    </row>
    <row r="647" spans="22:24" x14ac:dyDescent="0.25">
      <c r="V647" s="24"/>
      <c r="W647" s="24"/>
      <c r="X647" s="24"/>
    </row>
    <row r="648" spans="22:24" x14ac:dyDescent="0.25">
      <c r="V648" s="24"/>
      <c r="W648" s="24"/>
      <c r="X648" s="24"/>
    </row>
    <row r="649" spans="22:24" x14ac:dyDescent="0.25">
      <c r="V649" s="24"/>
      <c r="W649" s="24"/>
      <c r="X649" s="24"/>
    </row>
    <row r="650" spans="22:24" x14ac:dyDescent="0.25">
      <c r="V650" s="24"/>
      <c r="W650" s="24"/>
      <c r="X650" s="24"/>
    </row>
    <row r="651" spans="22:24" x14ac:dyDescent="0.25">
      <c r="V651" s="24"/>
      <c r="W651" s="24"/>
      <c r="X651" s="24"/>
    </row>
    <row r="652" spans="22:24" x14ac:dyDescent="0.25">
      <c r="V652" s="24"/>
      <c r="W652" s="24"/>
      <c r="X652" s="24"/>
    </row>
    <row r="653" spans="22:24" x14ac:dyDescent="0.25">
      <c r="V653" s="24"/>
      <c r="W653" s="24"/>
      <c r="X653" s="24"/>
    </row>
    <row r="654" spans="22:24" x14ac:dyDescent="0.25">
      <c r="V654" s="24"/>
      <c r="W654" s="24"/>
      <c r="X654" s="24"/>
    </row>
    <row r="655" spans="22:24" x14ac:dyDescent="0.25">
      <c r="V655" s="24"/>
      <c r="W655" s="24"/>
      <c r="X655" s="24"/>
    </row>
    <row r="656" spans="22:24" x14ac:dyDescent="0.25">
      <c r="V656" s="24"/>
      <c r="W656" s="24"/>
      <c r="X656" s="24"/>
    </row>
    <row r="657" spans="22:24" x14ac:dyDescent="0.25">
      <c r="V657" s="24"/>
      <c r="W657" s="24"/>
      <c r="X657" s="24"/>
    </row>
    <row r="658" spans="22:24" x14ac:dyDescent="0.25">
      <c r="V658" s="24"/>
      <c r="W658" s="24"/>
      <c r="X658" s="24"/>
    </row>
    <row r="659" spans="22:24" x14ac:dyDescent="0.25">
      <c r="V659" s="24"/>
      <c r="W659" s="24"/>
      <c r="X659" s="24"/>
    </row>
    <row r="660" spans="22:24" x14ac:dyDescent="0.25">
      <c r="V660" s="24"/>
      <c r="W660" s="24"/>
      <c r="X660" s="24"/>
    </row>
    <row r="661" spans="22:24" x14ac:dyDescent="0.25">
      <c r="V661" s="24"/>
      <c r="W661" s="24"/>
      <c r="X661" s="24"/>
    </row>
    <row r="662" spans="22:24" x14ac:dyDescent="0.25">
      <c r="V662" s="24"/>
      <c r="W662" s="24"/>
      <c r="X662" s="24"/>
    </row>
    <row r="663" spans="22:24" x14ac:dyDescent="0.25">
      <c r="V663" s="24"/>
      <c r="W663" s="24"/>
      <c r="X663" s="24"/>
    </row>
    <row r="664" spans="22:24" x14ac:dyDescent="0.25">
      <c r="V664" s="24"/>
      <c r="W664" s="24"/>
      <c r="X664" s="24"/>
    </row>
    <row r="665" spans="22:24" x14ac:dyDescent="0.25">
      <c r="V665" s="24"/>
      <c r="W665" s="24"/>
      <c r="X665" s="24"/>
    </row>
    <row r="666" spans="22:24" x14ac:dyDescent="0.25">
      <c r="V666" s="24"/>
      <c r="W666" s="24"/>
      <c r="X666" s="24"/>
    </row>
    <row r="667" spans="22:24" x14ac:dyDescent="0.25">
      <c r="V667" s="24"/>
      <c r="W667" s="24"/>
      <c r="X667" s="24"/>
    </row>
    <row r="668" spans="22:24" x14ac:dyDescent="0.25">
      <c r="V668" s="24"/>
      <c r="W668" s="24"/>
      <c r="X668" s="24"/>
    </row>
    <row r="669" spans="22:24" x14ac:dyDescent="0.25">
      <c r="V669" s="24"/>
      <c r="W669" s="24"/>
      <c r="X669" s="24"/>
    </row>
    <row r="670" spans="22:24" x14ac:dyDescent="0.25">
      <c r="V670" s="24"/>
      <c r="W670" s="24"/>
      <c r="X670" s="24"/>
    </row>
    <row r="671" spans="22:24" x14ac:dyDescent="0.25">
      <c r="V671" s="24"/>
      <c r="W671" s="24"/>
      <c r="X671" s="24"/>
    </row>
    <row r="672" spans="22:24" x14ac:dyDescent="0.25">
      <c r="V672" s="24"/>
      <c r="W672" s="24"/>
      <c r="X672" s="24"/>
    </row>
    <row r="673" spans="22:24" x14ac:dyDescent="0.25">
      <c r="V673" s="24"/>
      <c r="W673" s="24"/>
      <c r="X673" s="24"/>
    </row>
    <row r="674" spans="22:24" x14ac:dyDescent="0.25">
      <c r="V674" s="24"/>
      <c r="W674" s="24"/>
      <c r="X674" s="24"/>
    </row>
    <row r="675" spans="22:24" x14ac:dyDescent="0.25">
      <c r="V675" s="24"/>
      <c r="W675" s="24"/>
      <c r="X675" s="24"/>
    </row>
    <row r="676" spans="22:24" x14ac:dyDescent="0.25">
      <c r="V676" s="24"/>
      <c r="W676" s="24"/>
      <c r="X676" s="24"/>
    </row>
    <row r="677" spans="22:24" x14ac:dyDescent="0.25">
      <c r="V677" s="24"/>
      <c r="W677" s="24"/>
      <c r="X677" s="24"/>
    </row>
    <row r="678" spans="22:24" x14ac:dyDescent="0.25">
      <c r="V678" s="24"/>
      <c r="W678" s="24"/>
      <c r="X678" s="24"/>
    </row>
    <row r="679" spans="22:24" x14ac:dyDescent="0.25">
      <c r="V679" s="24"/>
      <c r="W679" s="24"/>
      <c r="X679" s="24"/>
    </row>
    <row r="680" spans="22:24" x14ac:dyDescent="0.25">
      <c r="V680" s="24"/>
      <c r="W680" s="24"/>
      <c r="X680" s="24"/>
    </row>
    <row r="681" spans="22:24" x14ac:dyDescent="0.25">
      <c r="V681" s="24"/>
      <c r="W681" s="24"/>
      <c r="X681" s="24"/>
    </row>
    <row r="682" spans="22:24" x14ac:dyDescent="0.25">
      <c r="V682" s="24"/>
      <c r="W682" s="24"/>
      <c r="X682" s="24"/>
    </row>
    <row r="683" spans="22:24" x14ac:dyDescent="0.25">
      <c r="V683" s="24"/>
      <c r="W683" s="24"/>
      <c r="X683" s="24"/>
    </row>
    <row r="684" spans="22:24" x14ac:dyDescent="0.25">
      <c r="V684" s="24"/>
      <c r="W684" s="24"/>
      <c r="X684" s="24"/>
    </row>
    <row r="685" spans="22:24" x14ac:dyDescent="0.25">
      <c r="V685" s="24"/>
      <c r="W685" s="24"/>
      <c r="X685" s="24"/>
    </row>
    <row r="686" spans="22:24" x14ac:dyDescent="0.25">
      <c r="V686" s="24"/>
      <c r="W686" s="24"/>
      <c r="X686" s="24"/>
    </row>
    <row r="687" spans="22:24" x14ac:dyDescent="0.25">
      <c r="V687" s="24"/>
      <c r="W687" s="24"/>
      <c r="X687" s="24"/>
    </row>
    <row r="688" spans="22:24" x14ac:dyDescent="0.25">
      <c r="V688" s="24"/>
      <c r="W688" s="24"/>
      <c r="X688" s="24"/>
    </row>
    <row r="689" spans="22:24" x14ac:dyDescent="0.25">
      <c r="V689" s="24"/>
      <c r="W689" s="24"/>
      <c r="X689" s="24"/>
    </row>
    <row r="690" spans="22:24" x14ac:dyDescent="0.25">
      <c r="V690" s="24"/>
      <c r="W690" s="24"/>
      <c r="X690" s="24"/>
    </row>
    <row r="691" spans="22:24" x14ac:dyDescent="0.25">
      <c r="V691" s="24"/>
      <c r="W691" s="24"/>
      <c r="X691" s="24"/>
    </row>
    <row r="692" spans="22:24" x14ac:dyDescent="0.25">
      <c r="V692" s="24"/>
      <c r="W692" s="24"/>
      <c r="X692" s="24"/>
    </row>
    <row r="693" spans="22:24" x14ac:dyDescent="0.25">
      <c r="V693" s="24"/>
      <c r="W693" s="24"/>
      <c r="X693" s="24"/>
    </row>
    <row r="694" spans="22:24" x14ac:dyDescent="0.25">
      <c r="V694" s="24"/>
      <c r="W694" s="24"/>
      <c r="X694" s="24"/>
    </row>
    <row r="695" spans="22:24" x14ac:dyDescent="0.25">
      <c r="V695" s="24"/>
      <c r="W695" s="24"/>
      <c r="X695" s="24"/>
    </row>
    <row r="696" spans="22:24" x14ac:dyDescent="0.25">
      <c r="V696" s="24"/>
      <c r="W696" s="24"/>
      <c r="X696" s="24"/>
    </row>
    <row r="697" spans="22:24" x14ac:dyDescent="0.25">
      <c r="V697" s="24"/>
      <c r="W697" s="24"/>
      <c r="X697" s="24"/>
    </row>
    <row r="698" spans="22:24" x14ac:dyDescent="0.25">
      <c r="V698" s="24"/>
      <c r="W698" s="24"/>
      <c r="X698" s="24"/>
    </row>
    <row r="699" spans="22:24" x14ac:dyDescent="0.25">
      <c r="V699" s="24"/>
      <c r="W699" s="24"/>
      <c r="X699" s="24"/>
    </row>
    <row r="700" spans="22:24" x14ac:dyDescent="0.25">
      <c r="V700" s="24"/>
      <c r="W700" s="24"/>
      <c r="X700" s="24"/>
    </row>
    <row r="701" spans="22:24" x14ac:dyDescent="0.25">
      <c r="V701" s="24"/>
      <c r="W701" s="24"/>
      <c r="X701" s="24"/>
    </row>
    <row r="702" spans="22:24" x14ac:dyDescent="0.25">
      <c r="V702" s="24"/>
      <c r="W702" s="24"/>
      <c r="X702" s="24"/>
    </row>
    <row r="703" spans="22:24" x14ac:dyDescent="0.25">
      <c r="V703" s="24"/>
      <c r="W703" s="24"/>
      <c r="X703" s="24"/>
    </row>
    <row r="704" spans="22:24" x14ac:dyDescent="0.25">
      <c r="V704" s="24"/>
      <c r="W704" s="24"/>
      <c r="X704" s="24"/>
    </row>
    <row r="705" spans="22:24" x14ac:dyDescent="0.25">
      <c r="V705" s="24"/>
      <c r="W705" s="24"/>
      <c r="X705" s="24"/>
    </row>
    <row r="706" spans="22:24" x14ac:dyDescent="0.25">
      <c r="V706" s="24"/>
      <c r="W706" s="24"/>
      <c r="X706" s="24"/>
    </row>
    <row r="707" spans="22:24" x14ac:dyDescent="0.25">
      <c r="V707" s="24"/>
      <c r="W707" s="24"/>
      <c r="X707" s="24"/>
    </row>
    <row r="708" spans="22:24" x14ac:dyDescent="0.25">
      <c r="V708" s="24"/>
      <c r="W708" s="24"/>
      <c r="X708" s="24"/>
    </row>
    <row r="709" spans="22:24" x14ac:dyDescent="0.25">
      <c r="V709" s="24"/>
      <c r="W709" s="24"/>
      <c r="X709" s="24"/>
    </row>
    <row r="710" spans="22:24" x14ac:dyDescent="0.25">
      <c r="V710" s="24"/>
      <c r="W710" s="24"/>
      <c r="X710" s="24"/>
    </row>
    <row r="711" spans="22:24" x14ac:dyDescent="0.25">
      <c r="V711" s="24"/>
      <c r="W711" s="24"/>
      <c r="X711" s="24"/>
    </row>
    <row r="712" spans="22:24" x14ac:dyDescent="0.25">
      <c r="V712" s="24"/>
      <c r="W712" s="24"/>
      <c r="X712" s="24"/>
    </row>
    <row r="713" spans="22:24" x14ac:dyDescent="0.25">
      <c r="V713" s="24"/>
      <c r="W713" s="24"/>
      <c r="X713" s="24"/>
    </row>
    <row r="714" spans="22:24" x14ac:dyDescent="0.25">
      <c r="V714" s="24"/>
      <c r="W714" s="24"/>
      <c r="X714" s="24"/>
    </row>
    <row r="715" spans="22:24" x14ac:dyDescent="0.25">
      <c r="V715" s="24"/>
      <c r="W715" s="24"/>
      <c r="X715" s="24"/>
    </row>
    <row r="716" spans="22:24" x14ac:dyDescent="0.25">
      <c r="V716" s="24"/>
      <c r="W716" s="24"/>
      <c r="X716" s="24"/>
    </row>
    <row r="717" spans="22:24" x14ac:dyDescent="0.25">
      <c r="V717" s="24"/>
      <c r="W717" s="24"/>
      <c r="X717" s="24"/>
    </row>
    <row r="718" spans="22:24" x14ac:dyDescent="0.25">
      <c r="V718" s="24"/>
      <c r="W718" s="24"/>
      <c r="X718" s="24"/>
    </row>
    <row r="719" spans="22:24" x14ac:dyDescent="0.25">
      <c r="V719" s="24"/>
      <c r="W719" s="24"/>
      <c r="X719" s="24"/>
    </row>
    <row r="720" spans="22:24" x14ac:dyDescent="0.25">
      <c r="V720" s="24"/>
      <c r="W720" s="24"/>
      <c r="X720" s="24"/>
    </row>
    <row r="721" spans="22:24" x14ac:dyDescent="0.25">
      <c r="V721" s="24"/>
      <c r="W721" s="24"/>
      <c r="X721" s="24"/>
    </row>
    <row r="722" spans="22:24" x14ac:dyDescent="0.25">
      <c r="V722" s="24"/>
      <c r="W722" s="24"/>
      <c r="X722" s="24"/>
    </row>
    <row r="723" spans="22:24" x14ac:dyDescent="0.25">
      <c r="V723" s="24"/>
      <c r="W723" s="24"/>
      <c r="X723" s="24"/>
    </row>
    <row r="724" spans="22:24" x14ac:dyDescent="0.25">
      <c r="V724" s="24"/>
      <c r="W724" s="24"/>
      <c r="X724" s="24"/>
    </row>
    <row r="725" spans="22:24" x14ac:dyDescent="0.25">
      <c r="V725" s="24"/>
      <c r="W725" s="24"/>
      <c r="X725" s="24"/>
    </row>
    <row r="726" spans="22:24" x14ac:dyDescent="0.25">
      <c r="V726" s="24"/>
      <c r="W726" s="24"/>
      <c r="X726" s="24"/>
    </row>
    <row r="727" spans="22:24" x14ac:dyDescent="0.25">
      <c r="V727" s="24"/>
      <c r="W727" s="24"/>
      <c r="X727" s="24"/>
    </row>
    <row r="728" spans="22:24" x14ac:dyDescent="0.25">
      <c r="V728" s="24"/>
      <c r="W728" s="24"/>
      <c r="X728" s="24"/>
    </row>
    <row r="729" spans="22:24" x14ac:dyDescent="0.25">
      <c r="V729" s="24"/>
      <c r="W729" s="24"/>
      <c r="X729" s="24"/>
    </row>
    <row r="730" spans="22:24" x14ac:dyDescent="0.25">
      <c r="V730" s="24"/>
      <c r="W730" s="24"/>
      <c r="X730" s="24"/>
    </row>
    <row r="731" spans="22:24" x14ac:dyDescent="0.25">
      <c r="V731" s="24"/>
      <c r="W731" s="24"/>
      <c r="X731" s="24"/>
    </row>
    <row r="732" spans="22:24" x14ac:dyDescent="0.25">
      <c r="V732" s="24"/>
      <c r="W732" s="24"/>
      <c r="X732" s="24"/>
    </row>
    <row r="733" spans="22:24" x14ac:dyDescent="0.25">
      <c r="V733" s="24"/>
      <c r="W733" s="24"/>
      <c r="X733" s="24"/>
    </row>
    <row r="734" spans="22:24" x14ac:dyDescent="0.25">
      <c r="V734" s="24"/>
      <c r="W734" s="24"/>
      <c r="X734" s="24"/>
    </row>
    <row r="735" spans="22:24" x14ac:dyDescent="0.25">
      <c r="V735" s="24"/>
      <c r="W735" s="24"/>
      <c r="X735" s="24"/>
    </row>
    <row r="736" spans="22:24" x14ac:dyDescent="0.25">
      <c r="V736" s="24"/>
      <c r="W736" s="24"/>
      <c r="X736" s="24"/>
    </row>
    <row r="737" spans="22:24" x14ac:dyDescent="0.25">
      <c r="V737" s="24"/>
      <c r="W737" s="24"/>
      <c r="X737" s="24"/>
    </row>
    <row r="738" spans="22:24" x14ac:dyDescent="0.25">
      <c r="V738" s="24"/>
      <c r="W738" s="24"/>
      <c r="X738" s="24"/>
    </row>
    <row r="739" spans="22:24" x14ac:dyDescent="0.25">
      <c r="V739" s="24"/>
      <c r="W739" s="24"/>
      <c r="X739" s="24"/>
    </row>
    <row r="740" spans="22:24" x14ac:dyDescent="0.25">
      <c r="V740" s="24"/>
      <c r="W740" s="24"/>
      <c r="X740" s="24"/>
    </row>
    <row r="741" spans="22:24" x14ac:dyDescent="0.25">
      <c r="V741" s="24"/>
      <c r="W741" s="24"/>
      <c r="X741" s="24"/>
    </row>
    <row r="742" spans="22:24" x14ac:dyDescent="0.25">
      <c r="V742" s="24"/>
      <c r="W742" s="24"/>
      <c r="X742" s="24"/>
    </row>
    <row r="743" spans="22:24" x14ac:dyDescent="0.25">
      <c r="V743" s="24"/>
      <c r="W743" s="24"/>
      <c r="X743" s="24"/>
    </row>
    <row r="744" spans="22:24" x14ac:dyDescent="0.25">
      <c r="V744" s="24"/>
      <c r="W744" s="24"/>
      <c r="X744" s="24"/>
    </row>
    <row r="745" spans="22:24" x14ac:dyDescent="0.25">
      <c r="V745" s="24"/>
      <c r="W745" s="24"/>
      <c r="X745" s="24"/>
    </row>
    <row r="746" spans="22:24" x14ac:dyDescent="0.25">
      <c r="V746" s="24"/>
      <c r="W746" s="24"/>
      <c r="X746" s="24"/>
    </row>
    <row r="747" spans="22:24" x14ac:dyDescent="0.25">
      <c r="V747" s="24"/>
      <c r="W747" s="24"/>
      <c r="X747" s="24"/>
    </row>
    <row r="748" spans="22:24" x14ac:dyDescent="0.25">
      <c r="V748" s="24"/>
      <c r="W748" s="24"/>
      <c r="X748" s="24"/>
    </row>
    <row r="749" spans="22:24" x14ac:dyDescent="0.25">
      <c r="V749" s="24"/>
      <c r="W749" s="24"/>
      <c r="X749" s="24"/>
    </row>
    <row r="750" spans="22:24" x14ac:dyDescent="0.25">
      <c r="V750" s="24"/>
      <c r="W750" s="24"/>
      <c r="X750" s="24"/>
    </row>
    <row r="751" spans="22:24" x14ac:dyDescent="0.25">
      <c r="V751" s="24"/>
      <c r="W751" s="24"/>
      <c r="X751" s="24"/>
    </row>
    <row r="752" spans="22:24" x14ac:dyDescent="0.25">
      <c r="V752" s="24"/>
      <c r="W752" s="24"/>
      <c r="X752" s="24"/>
    </row>
    <row r="753" spans="22:24" x14ac:dyDescent="0.25">
      <c r="V753" s="24"/>
      <c r="W753" s="24"/>
      <c r="X753" s="24"/>
    </row>
    <row r="754" spans="22:24" x14ac:dyDescent="0.25">
      <c r="V754" s="24"/>
      <c r="W754" s="24"/>
      <c r="X754" s="24"/>
    </row>
    <row r="755" spans="22:24" x14ac:dyDescent="0.25">
      <c r="V755" s="24"/>
      <c r="W755" s="24"/>
      <c r="X755" s="24"/>
    </row>
    <row r="756" spans="22:24" x14ac:dyDescent="0.25">
      <c r="V756" s="24"/>
      <c r="W756" s="24"/>
      <c r="X756" s="24"/>
    </row>
    <row r="757" spans="22:24" x14ac:dyDescent="0.25">
      <c r="V757" s="24"/>
      <c r="W757" s="24"/>
      <c r="X757" s="24"/>
    </row>
    <row r="758" spans="22:24" x14ac:dyDescent="0.25">
      <c r="V758" s="24"/>
      <c r="W758" s="24"/>
      <c r="X758" s="24"/>
    </row>
    <row r="759" spans="22:24" x14ac:dyDescent="0.25">
      <c r="V759" s="24"/>
      <c r="W759" s="24"/>
      <c r="X759" s="24"/>
    </row>
    <row r="760" spans="22:24" x14ac:dyDescent="0.25">
      <c r="V760" s="24"/>
      <c r="W760" s="24"/>
      <c r="X760" s="24"/>
    </row>
    <row r="761" spans="22:24" x14ac:dyDescent="0.25">
      <c r="V761" s="24"/>
      <c r="W761" s="24"/>
      <c r="X761" s="24"/>
    </row>
    <row r="762" spans="22:24" x14ac:dyDescent="0.25">
      <c r="V762" s="24"/>
      <c r="W762" s="24"/>
      <c r="X762" s="24"/>
    </row>
    <row r="763" spans="22:24" x14ac:dyDescent="0.25">
      <c r="V763" s="24"/>
      <c r="W763" s="24"/>
      <c r="X763" s="24"/>
    </row>
    <row r="764" spans="22:24" x14ac:dyDescent="0.25">
      <c r="V764" s="24"/>
      <c r="W764" s="24"/>
      <c r="X764" s="24"/>
    </row>
    <row r="765" spans="22:24" x14ac:dyDescent="0.25">
      <c r="V765" s="24"/>
      <c r="W765" s="24"/>
      <c r="X765" s="24"/>
    </row>
    <row r="766" spans="22:24" x14ac:dyDescent="0.25">
      <c r="V766" s="24"/>
      <c r="W766" s="24"/>
      <c r="X766" s="24"/>
    </row>
    <row r="767" spans="22:24" x14ac:dyDescent="0.25">
      <c r="V767" s="24"/>
      <c r="W767" s="24"/>
      <c r="X767" s="24"/>
    </row>
    <row r="768" spans="22:24" x14ac:dyDescent="0.25">
      <c r="V768" s="24"/>
      <c r="W768" s="24"/>
      <c r="X768" s="24"/>
    </row>
    <row r="769" spans="22:24" x14ac:dyDescent="0.25">
      <c r="V769" s="24"/>
      <c r="W769" s="24"/>
      <c r="X769" s="24"/>
    </row>
    <row r="770" spans="22:24" x14ac:dyDescent="0.25">
      <c r="V770" s="24"/>
      <c r="W770" s="24"/>
      <c r="X770" s="24"/>
    </row>
    <row r="771" spans="22:24" x14ac:dyDescent="0.25">
      <c r="V771" s="24"/>
      <c r="W771" s="24"/>
      <c r="X771" s="24"/>
    </row>
    <row r="772" spans="22:24" x14ac:dyDescent="0.25">
      <c r="V772" s="24"/>
      <c r="W772" s="24"/>
      <c r="X772" s="24"/>
    </row>
    <row r="773" spans="22:24" x14ac:dyDescent="0.25">
      <c r="V773" s="24"/>
      <c r="W773" s="24"/>
      <c r="X773" s="24"/>
    </row>
    <row r="774" spans="22:24" x14ac:dyDescent="0.25">
      <c r="V774" s="24"/>
      <c r="W774" s="24"/>
      <c r="X774" s="24"/>
    </row>
    <row r="775" spans="22:24" x14ac:dyDescent="0.25">
      <c r="V775" s="24"/>
      <c r="W775" s="24"/>
      <c r="X775" s="24"/>
    </row>
    <row r="776" spans="22:24" x14ac:dyDescent="0.25">
      <c r="V776" s="24"/>
      <c r="W776" s="24"/>
      <c r="X776" s="24"/>
    </row>
    <row r="777" spans="22:24" x14ac:dyDescent="0.25">
      <c r="V777" s="24"/>
      <c r="W777" s="24"/>
      <c r="X777" s="24"/>
    </row>
    <row r="778" spans="22:24" x14ac:dyDescent="0.25">
      <c r="V778" s="24"/>
      <c r="W778" s="24"/>
      <c r="X778" s="24"/>
    </row>
    <row r="779" spans="22:24" x14ac:dyDescent="0.25">
      <c r="V779" s="24"/>
      <c r="W779" s="24"/>
      <c r="X779" s="24"/>
    </row>
    <row r="780" spans="22:24" x14ac:dyDescent="0.25">
      <c r="V780" s="24"/>
      <c r="W780" s="24"/>
      <c r="X780" s="24"/>
    </row>
    <row r="781" spans="22:24" x14ac:dyDescent="0.25">
      <c r="V781" s="24"/>
      <c r="W781" s="24"/>
      <c r="X781" s="24"/>
    </row>
    <row r="782" spans="22:24" x14ac:dyDescent="0.25">
      <c r="V782" s="24"/>
      <c r="W782" s="24"/>
      <c r="X782" s="24"/>
    </row>
    <row r="783" spans="22:24" x14ac:dyDescent="0.25">
      <c r="V783" s="24"/>
      <c r="W783" s="24"/>
      <c r="X783" s="24"/>
    </row>
    <row r="784" spans="22:24" x14ac:dyDescent="0.25">
      <c r="V784" s="24"/>
      <c r="W784" s="24"/>
      <c r="X784" s="24"/>
    </row>
    <row r="785" spans="22:24" x14ac:dyDescent="0.25">
      <c r="V785" s="24"/>
      <c r="W785" s="24"/>
      <c r="X785" s="24"/>
    </row>
    <row r="786" spans="22:24" x14ac:dyDescent="0.25">
      <c r="V786" s="24"/>
      <c r="W786" s="24"/>
      <c r="X786" s="24"/>
    </row>
    <row r="787" spans="22:24" x14ac:dyDescent="0.25">
      <c r="V787" s="24"/>
      <c r="W787" s="24"/>
      <c r="X787" s="24"/>
    </row>
    <row r="788" spans="22:24" x14ac:dyDescent="0.25">
      <c r="V788" s="24"/>
      <c r="W788" s="24"/>
      <c r="X788" s="24"/>
    </row>
    <row r="789" spans="22:24" x14ac:dyDescent="0.25">
      <c r="V789" s="24"/>
      <c r="W789" s="24"/>
      <c r="X789" s="24"/>
    </row>
    <row r="790" spans="22:24" x14ac:dyDescent="0.25">
      <c r="V790" s="24"/>
      <c r="W790" s="24"/>
      <c r="X790" s="24"/>
    </row>
    <row r="791" spans="22:24" x14ac:dyDescent="0.25">
      <c r="V791" s="24"/>
      <c r="W791" s="24"/>
      <c r="X791" s="24"/>
    </row>
    <row r="792" spans="22:24" x14ac:dyDescent="0.25">
      <c r="V792" s="24"/>
      <c r="W792" s="24"/>
      <c r="X792" s="24"/>
    </row>
    <row r="793" spans="22:24" x14ac:dyDescent="0.25">
      <c r="V793" s="24"/>
      <c r="W793" s="24"/>
      <c r="X793" s="24"/>
    </row>
    <row r="794" spans="22:24" x14ac:dyDescent="0.25">
      <c r="V794" s="24"/>
      <c r="W794" s="24"/>
      <c r="X794" s="24"/>
    </row>
    <row r="795" spans="22:24" x14ac:dyDescent="0.25">
      <c r="V795" s="24"/>
      <c r="W795" s="24"/>
      <c r="X795" s="24"/>
    </row>
    <row r="796" spans="22:24" x14ac:dyDescent="0.25">
      <c r="V796" s="24"/>
      <c r="W796" s="24"/>
      <c r="X796" s="24"/>
    </row>
    <row r="797" spans="22:24" x14ac:dyDescent="0.25">
      <c r="V797" s="24"/>
      <c r="W797" s="24"/>
      <c r="X797" s="24"/>
    </row>
    <row r="798" spans="22:24" x14ac:dyDescent="0.25">
      <c r="V798" s="24"/>
      <c r="W798" s="24"/>
      <c r="X798" s="24"/>
    </row>
    <row r="799" spans="22:24" x14ac:dyDescent="0.25">
      <c r="V799" s="24"/>
      <c r="W799" s="24"/>
      <c r="X799" s="24"/>
    </row>
    <row r="800" spans="22:24" x14ac:dyDescent="0.25">
      <c r="V800" s="24"/>
      <c r="W800" s="24"/>
      <c r="X800" s="24"/>
    </row>
    <row r="801" spans="22:24" x14ac:dyDescent="0.25">
      <c r="V801" s="24"/>
      <c r="W801" s="24"/>
      <c r="X801" s="24"/>
    </row>
    <row r="802" spans="22:24" x14ac:dyDescent="0.25">
      <c r="V802" s="24"/>
      <c r="W802" s="24"/>
      <c r="X802" s="24"/>
    </row>
    <row r="803" spans="22:24" x14ac:dyDescent="0.25">
      <c r="V803" s="24"/>
      <c r="W803" s="24"/>
      <c r="X803" s="24"/>
    </row>
    <row r="804" spans="22:24" x14ac:dyDescent="0.25">
      <c r="V804" s="24"/>
      <c r="W804" s="24"/>
      <c r="X804" s="24"/>
    </row>
    <row r="805" spans="22:24" x14ac:dyDescent="0.25">
      <c r="V805" s="24"/>
      <c r="W805" s="24"/>
      <c r="X805" s="24"/>
    </row>
    <row r="806" spans="22:24" x14ac:dyDescent="0.25">
      <c r="V806" s="24"/>
      <c r="W806" s="24"/>
      <c r="X806" s="24"/>
    </row>
    <row r="807" spans="22:24" x14ac:dyDescent="0.25">
      <c r="V807" s="24"/>
      <c r="W807" s="24"/>
      <c r="X807" s="24"/>
    </row>
  </sheetData>
  <sheetProtection selectLockedCells="1"/>
  <mergeCells count="153">
    <mergeCell ref="B37:C37"/>
    <mergeCell ref="D37:V37"/>
    <mergeCell ref="T76:V76"/>
    <mergeCell ref="D22:V22"/>
    <mergeCell ref="D88:F88"/>
    <mergeCell ref="K88:M88"/>
    <mergeCell ref="R88:T88"/>
    <mergeCell ref="D62:H62"/>
    <mergeCell ref="K62:O62"/>
    <mergeCell ref="R62:V62"/>
    <mergeCell ref="D64:H64"/>
    <mergeCell ref="K64:O64"/>
    <mergeCell ref="R64:V64"/>
    <mergeCell ref="D70:F70"/>
    <mergeCell ref="K70:M70"/>
    <mergeCell ref="R70:T70"/>
    <mergeCell ref="D66:H66"/>
    <mergeCell ref="K66:O66"/>
    <mergeCell ref="R66:V66"/>
    <mergeCell ref="D60:H60"/>
    <mergeCell ref="K60:O60"/>
    <mergeCell ref="R60:V60"/>
    <mergeCell ref="D68:H68"/>
    <mergeCell ref="K68:O68"/>
    <mergeCell ref="B1:V1"/>
    <mergeCell ref="R3:S3"/>
    <mergeCell ref="N5:T5"/>
    <mergeCell ref="D5:J5"/>
    <mergeCell ref="D52:H52"/>
    <mergeCell ref="K52:O52"/>
    <mergeCell ref="R52:V52"/>
    <mergeCell ref="R58:V58"/>
    <mergeCell ref="K58:O58"/>
    <mergeCell ref="D58:H58"/>
    <mergeCell ref="D42:F42"/>
    <mergeCell ref="L42:V42"/>
    <mergeCell ref="D46:M46"/>
    <mergeCell ref="D48:V48"/>
    <mergeCell ref="D24:V24"/>
    <mergeCell ref="D26:V26"/>
    <mergeCell ref="D28:V28"/>
    <mergeCell ref="D30:V31"/>
    <mergeCell ref="D33:V33"/>
    <mergeCell ref="D8:J8"/>
    <mergeCell ref="D35:F35"/>
    <mergeCell ref="K11:M11"/>
    <mergeCell ref="K15:R15"/>
    <mergeCell ref="D17:J17"/>
    <mergeCell ref="K99:O99"/>
    <mergeCell ref="D99:H99"/>
    <mergeCell ref="R105:V105"/>
    <mergeCell ref="R109:T109"/>
    <mergeCell ref="K109:M109"/>
    <mergeCell ref="D109:F109"/>
    <mergeCell ref="D78:E78"/>
    <mergeCell ref="F117:H117"/>
    <mergeCell ref="T78:V78"/>
    <mergeCell ref="R78:S78"/>
    <mergeCell ref="M78:O78"/>
    <mergeCell ref="K78:L78"/>
    <mergeCell ref="F78:H78"/>
    <mergeCell ref="T115:V115"/>
    <mergeCell ref="M115:O115"/>
    <mergeCell ref="F115:H115"/>
    <mergeCell ref="F114:H114"/>
    <mergeCell ref="F113:H113"/>
    <mergeCell ref="K105:O105"/>
    <mergeCell ref="D105:H105"/>
    <mergeCell ref="R107:V107"/>
    <mergeCell ref="K107:O107"/>
    <mergeCell ref="D107:H107"/>
    <mergeCell ref="D95:F95"/>
    <mergeCell ref="R144:V144"/>
    <mergeCell ref="K144:O144"/>
    <mergeCell ref="D144:H144"/>
    <mergeCell ref="R68:V68"/>
    <mergeCell ref="F74:H74"/>
    <mergeCell ref="F75:H75"/>
    <mergeCell ref="F76:H76"/>
    <mergeCell ref="M76:O76"/>
    <mergeCell ref="R166:T166"/>
    <mergeCell ref="K166:M166"/>
    <mergeCell ref="D166:F166"/>
    <mergeCell ref="R97:V97"/>
    <mergeCell ref="K97:O97"/>
    <mergeCell ref="D97:H97"/>
    <mergeCell ref="R91:V91"/>
    <mergeCell ref="K91:O91"/>
    <mergeCell ref="D91:H91"/>
    <mergeCell ref="R103:V103"/>
    <mergeCell ref="K103:O103"/>
    <mergeCell ref="D103:H103"/>
    <mergeCell ref="R101:V101"/>
    <mergeCell ref="K101:O101"/>
    <mergeCell ref="D101:H101"/>
    <mergeCell ref="R99:V99"/>
    <mergeCell ref="K146:O146"/>
    <mergeCell ref="D146:H146"/>
    <mergeCell ref="T156:V156"/>
    <mergeCell ref="R156:S156"/>
    <mergeCell ref="M156:O156"/>
    <mergeCell ref="K156:L156"/>
    <mergeCell ref="F156:H156"/>
    <mergeCell ref="D156:E156"/>
    <mergeCell ref="T154:V154"/>
    <mergeCell ref="M154:O154"/>
    <mergeCell ref="F154:H154"/>
    <mergeCell ref="F153:H153"/>
    <mergeCell ref="F152:H152"/>
    <mergeCell ref="R148:T148"/>
    <mergeCell ref="K148:M148"/>
    <mergeCell ref="D148:F148"/>
    <mergeCell ref="R146:V146"/>
    <mergeCell ref="D117:E117"/>
    <mergeCell ref="R136:V136"/>
    <mergeCell ref="K136:O136"/>
    <mergeCell ref="D136:H136"/>
    <mergeCell ref="R130:V130"/>
    <mergeCell ref="K130:O130"/>
    <mergeCell ref="D130:H130"/>
    <mergeCell ref="R142:V142"/>
    <mergeCell ref="K142:O142"/>
    <mergeCell ref="D142:H142"/>
    <mergeCell ref="R140:V140"/>
    <mergeCell ref="K140:O140"/>
    <mergeCell ref="D140:H140"/>
    <mergeCell ref="R138:V138"/>
    <mergeCell ref="K138:O138"/>
    <mergeCell ref="D138:H138"/>
    <mergeCell ref="K95:M95"/>
    <mergeCell ref="R95:T95"/>
    <mergeCell ref="D132:F132"/>
    <mergeCell ref="K132:M132"/>
    <mergeCell ref="R132:T132"/>
    <mergeCell ref="D134:F134"/>
    <mergeCell ref="K134:M134"/>
    <mergeCell ref="R134:T134"/>
    <mergeCell ref="D54:F54"/>
    <mergeCell ref="K54:M54"/>
    <mergeCell ref="R54:T54"/>
    <mergeCell ref="D56:F56"/>
    <mergeCell ref="K56:M56"/>
    <mergeCell ref="R56:T56"/>
    <mergeCell ref="D93:F93"/>
    <mergeCell ref="K93:M93"/>
    <mergeCell ref="R93:T93"/>
    <mergeCell ref="R127:T127"/>
    <mergeCell ref="K127:M127"/>
    <mergeCell ref="D127:F127"/>
    <mergeCell ref="T117:V117"/>
    <mergeCell ref="R117:S117"/>
    <mergeCell ref="M117:O117"/>
    <mergeCell ref="K117:L117"/>
  </mergeCells>
  <dataValidations count="11">
    <dataValidation allowBlank="1" showInputMessage="1" showErrorMessage="1" errorTitle="PNP" error="You must select a PNP from the list" sqref="D4:H4" xr:uid="{00000000-0002-0000-0200-000000000000}"/>
    <dataValidation type="list" allowBlank="1" showInputMessage="1" showErrorMessage="1" sqref="S15 D15" xr:uid="{00000000-0002-0000-0200-000001000000}">
      <formula1>"Home, Hospital, Other"</formula1>
    </dataValidation>
    <dataValidation type="decimal" operator="greaterThan" allowBlank="1" showInputMessage="1" showErrorMessage="1" error="Only enter numeric values please!" sqref="D72 F72 H72 K72 M72 O72 R72 T72 V72 D111 F111 H111 K111 M111 O111 R111 T111 V111 D150 F150 H150 K150 M150 O150 R150 T150 V150" xr:uid="{00000000-0002-0000-0200-000002000000}">
      <formula1>0</formula1>
    </dataValidation>
    <dataValidation type="list" allowBlank="1" showInputMessage="1" showErrorMessage="1" sqref="J15" xr:uid="{00000000-0002-0000-0200-000003000000}">
      <formula1>Hospitals</formula1>
    </dataValidation>
    <dataValidation allowBlank="1" showInputMessage="1" showErrorMessage="1" errorTitle="Wound Location" error="Please select from the list" sqref="R58:V58 K58:O58 R97:V97 K97:O97 R136:V136 K136:O136" xr:uid="{00000000-0002-0000-0200-000004000000}"/>
    <dataValidation type="list" allowBlank="1" showInputMessage="1" showErrorMessage="1" sqref="D70:F70 R70:T70 K70:M70 D109:F109 R109:T109 K109:M109 D148:F148 R148:T148 K148:M148" xr:uid="{00000000-0002-0000-0200-000005000000}">
      <formula1>WndEdge</formula1>
    </dataValidation>
    <dataValidation type="list" allowBlank="1" showInputMessage="1" showErrorMessage="1" sqref="D88:F88 K88:M88 R88:T88 D127:F127 K127:M127 R127:T127 D166:F166 K166:M166 R166:T166" xr:uid="{00000000-0002-0000-0200-000006000000}">
      <formula1>Exudate</formula1>
    </dataValidation>
    <dataValidation type="list" allowBlank="1" showInputMessage="1" showErrorMessage="1" sqref="D46:M46" xr:uid="{00000000-0002-0000-0200-000007000000}">
      <formula1>DeclineReason</formula1>
    </dataValidation>
    <dataValidation type="list" allowBlank="1" showInputMessage="1" showErrorMessage="1" sqref="D44" xr:uid="{00000000-0002-0000-0200-000008000000}">
      <formula1>YesNo</formula1>
    </dataValidation>
    <dataValidation type="list" allowBlank="1" showInputMessage="1" showErrorMessage="1" errorTitle="Title" error="Please select from the list" sqref="N4:O4 R3:S3" xr:uid="{00000000-0002-0000-0200-000009000000}">
      <formula1>"Mr, Mrs, Ms, Dr, Adv"</formula1>
    </dataValidation>
    <dataValidation type="date" operator="greaterThan" allowBlank="1" showInputMessage="1" showErrorMessage="1" errorTitle="Date Format Error" error="Please use the Date Picker to set the date. _x000a_Format MUST be yyyy-mm-dd  like 2016-04-25_x000a_" sqref="D11 K11:M11 D42:F42 D56:F56 K56:M56 R56:T56 D78:E78 K78:L78 R78:S78 D95:F95 K95:M95 R95:T95 D117:E117 K117:L117 R117:S117 D134:F134 K134:M134 R134:T134 D156:E156 K156:L156 R156:S156" xr:uid="{00000000-0002-0000-0200-00000A000000}">
      <formula1>36526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rowBreaks count="1" manualBreakCount="1">
    <brk id="89" max="22" man="1"/>
  </rowBreaks>
  <drawing r:id="rId2"/>
  <legacyDrawing r:id="rId3"/>
  <controls>
    <mc:AlternateContent xmlns:mc="http://schemas.openxmlformats.org/markup-compatibility/2006">
      <mc:Choice Requires="x14">
        <control shapeId="7173" r:id="rId4" name="CheckBox1">
          <controlPr locked="0" defaultSize="0" autoLine="0" linkedCell="Sheet1!E173" r:id="rId5">
            <anchor moveWithCells="1">
              <from>
                <xdr:col>3</xdr:col>
                <xdr:colOff>0</xdr:colOff>
                <xdr:row>79</xdr:row>
                <xdr:rowOff>9525</xdr:rowOff>
              </from>
              <to>
                <xdr:col>3</xdr:col>
                <xdr:colOff>152400</xdr:colOff>
                <xdr:row>80</xdr:row>
                <xdr:rowOff>0</xdr:rowOff>
              </to>
            </anchor>
          </controlPr>
        </control>
      </mc:Choice>
      <mc:Fallback>
        <control shapeId="7173" r:id="rId4" name="CheckBox1"/>
      </mc:Fallback>
    </mc:AlternateContent>
    <mc:AlternateContent xmlns:mc="http://schemas.openxmlformats.org/markup-compatibility/2006">
      <mc:Choice Requires="x14">
        <control shapeId="7174" r:id="rId6" name="CheckBox2">
          <controlPr locked="0" defaultSize="0" autoLine="0" linkedCell="Sheet1!E174" r:id="rId7">
            <anchor moveWithCells="1">
              <from>
                <xdr:col>2</xdr:col>
                <xdr:colOff>742950</xdr:colOff>
                <xdr:row>80</xdr:row>
                <xdr:rowOff>0</xdr:rowOff>
              </from>
              <to>
                <xdr:col>3</xdr:col>
                <xdr:colOff>85725</xdr:colOff>
                <xdr:row>80</xdr:row>
                <xdr:rowOff>200025</xdr:rowOff>
              </to>
            </anchor>
          </controlPr>
        </control>
      </mc:Choice>
      <mc:Fallback>
        <control shapeId="7174" r:id="rId6" name="CheckBox2"/>
      </mc:Fallback>
    </mc:AlternateContent>
    <mc:AlternateContent xmlns:mc="http://schemas.openxmlformats.org/markup-compatibility/2006">
      <mc:Choice Requires="x14">
        <control shapeId="7175" r:id="rId8" name="CheckBox3">
          <controlPr locked="0" defaultSize="0" autoLine="0" linkedCell="Sheet1!E175" r:id="rId9">
            <anchor moveWithCells="1">
              <from>
                <xdr:col>5</xdr:col>
                <xdr:colOff>152400</xdr:colOff>
                <xdr:row>79</xdr:row>
                <xdr:rowOff>28575</xdr:rowOff>
              </from>
              <to>
                <xdr:col>5</xdr:col>
                <xdr:colOff>304800</xdr:colOff>
                <xdr:row>80</xdr:row>
                <xdr:rowOff>19050</xdr:rowOff>
              </to>
            </anchor>
          </controlPr>
        </control>
      </mc:Choice>
      <mc:Fallback>
        <control shapeId="7175" r:id="rId8" name="CheckBox3"/>
      </mc:Fallback>
    </mc:AlternateContent>
    <mc:AlternateContent xmlns:mc="http://schemas.openxmlformats.org/markup-compatibility/2006">
      <mc:Choice Requires="x14">
        <control shapeId="7176" r:id="rId10" name="CheckBox4">
          <controlPr locked="0" defaultSize="0" autoLine="0" linkedCell="Sheet1!E176" r:id="rId11">
            <anchor moveWithCells="1">
              <from>
                <xdr:col>5</xdr:col>
                <xdr:colOff>152400</xdr:colOff>
                <xdr:row>80</xdr:row>
                <xdr:rowOff>9525</xdr:rowOff>
              </from>
              <to>
                <xdr:col>5</xdr:col>
                <xdr:colOff>304800</xdr:colOff>
                <xdr:row>81</xdr:row>
                <xdr:rowOff>0</xdr:rowOff>
              </to>
            </anchor>
          </controlPr>
        </control>
      </mc:Choice>
      <mc:Fallback>
        <control shapeId="7176" r:id="rId10" name="CheckBox4"/>
      </mc:Fallback>
    </mc:AlternateContent>
    <mc:AlternateContent xmlns:mc="http://schemas.openxmlformats.org/markup-compatibility/2006">
      <mc:Choice Requires="x14">
        <control shapeId="7177" r:id="rId12" name="CheckBox5">
          <controlPr locked="0" defaultSize="0" autoLine="0" linkedCell="Sheet1!E177" r:id="rId13">
            <anchor moveWithCells="1">
              <from>
                <xdr:col>5</xdr:col>
                <xdr:colOff>152400</xdr:colOff>
                <xdr:row>81</xdr:row>
                <xdr:rowOff>0</xdr:rowOff>
              </from>
              <to>
                <xdr:col>5</xdr:col>
                <xdr:colOff>304800</xdr:colOff>
                <xdr:row>81</xdr:row>
                <xdr:rowOff>200025</xdr:rowOff>
              </to>
            </anchor>
          </controlPr>
        </control>
      </mc:Choice>
      <mc:Fallback>
        <control shapeId="7177" r:id="rId12" name="CheckBox5"/>
      </mc:Fallback>
    </mc:AlternateContent>
    <mc:AlternateContent xmlns:mc="http://schemas.openxmlformats.org/markup-compatibility/2006">
      <mc:Choice Requires="x14">
        <control shapeId="7178" r:id="rId14" name="CheckBox6">
          <controlPr locked="0" defaultSize="0" autoLine="0" linkedCell="Sheet1!E178" r:id="rId15">
            <anchor moveWithCells="1">
              <from>
                <xdr:col>3</xdr:col>
                <xdr:colOff>0</xdr:colOff>
                <xdr:row>83</xdr:row>
                <xdr:rowOff>9525</xdr:rowOff>
              </from>
              <to>
                <xdr:col>3</xdr:col>
                <xdr:colOff>152400</xdr:colOff>
                <xdr:row>84</xdr:row>
                <xdr:rowOff>0</xdr:rowOff>
              </to>
            </anchor>
          </controlPr>
        </control>
      </mc:Choice>
      <mc:Fallback>
        <control shapeId="7178" r:id="rId14" name="CheckBox6"/>
      </mc:Fallback>
    </mc:AlternateContent>
    <mc:AlternateContent xmlns:mc="http://schemas.openxmlformats.org/markup-compatibility/2006">
      <mc:Choice Requires="x14">
        <control shapeId="7179" r:id="rId16" name="CheckBox7">
          <controlPr locked="0" defaultSize="0" autoLine="0" linkedCell="Sheet1!E179" r:id="rId17">
            <anchor moveWithCells="1">
              <from>
                <xdr:col>3</xdr:col>
                <xdr:colOff>0</xdr:colOff>
                <xdr:row>84</xdr:row>
                <xdr:rowOff>19050</xdr:rowOff>
              </from>
              <to>
                <xdr:col>3</xdr:col>
                <xdr:colOff>152400</xdr:colOff>
                <xdr:row>85</xdr:row>
                <xdr:rowOff>9525</xdr:rowOff>
              </to>
            </anchor>
          </controlPr>
        </control>
      </mc:Choice>
      <mc:Fallback>
        <control shapeId="7179" r:id="rId16" name="CheckBox7"/>
      </mc:Fallback>
    </mc:AlternateContent>
    <mc:AlternateContent xmlns:mc="http://schemas.openxmlformats.org/markup-compatibility/2006">
      <mc:Choice Requires="x14">
        <control shapeId="7180" r:id="rId18" name="CheckBox8">
          <controlPr locked="0" defaultSize="0" autoLine="0" linkedCell="Sheet1!E181" r:id="rId19">
            <anchor moveWithCells="1">
              <from>
                <xdr:col>10</xdr:col>
                <xdr:colOff>0</xdr:colOff>
                <xdr:row>79</xdr:row>
                <xdr:rowOff>9525</xdr:rowOff>
              </from>
              <to>
                <xdr:col>10</xdr:col>
                <xdr:colOff>152400</xdr:colOff>
                <xdr:row>80</xdr:row>
                <xdr:rowOff>0</xdr:rowOff>
              </to>
            </anchor>
          </controlPr>
        </control>
      </mc:Choice>
      <mc:Fallback>
        <control shapeId="7180" r:id="rId18" name="CheckBox8"/>
      </mc:Fallback>
    </mc:AlternateContent>
    <mc:AlternateContent xmlns:mc="http://schemas.openxmlformats.org/markup-compatibility/2006">
      <mc:Choice Requires="x14">
        <control shapeId="7181" r:id="rId20" name="CheckBox9">
          <controlPr locked="0" defaultSize="0" autoLine="0" linkedCell="Sheet1!E182" r:id="rId21">
            <anchor moveWithCells="1">
              <from>
                <xdr:col>10</xdr:col>
                <xdr:colOff>0</xdr:colOff>
                <xdr:row>80</xdr:row>
                <xdr:rowOff>0</xdr:rowOff>
              </from>
              <to>
                <xdr:col>10</xdr:col>
                <xdr:colOff>152400</xdr:colOff>
                <xdr:row>80</xdr:row>
                <xdr:rowOff>200025</xdr:rowOff>
              </to>
            </anchor>
          </controlPr>
        </control>
      </mc:Choice>
      <mc:Fallback>
        <control shapeId="7181" r:id="rId20" name="CheckBox9"/>
      </mc:Fallback>
    </mc:AlternateContent>
    <mc:AlternateContent xmlns:mc="http://schemas.openxmlformats.org/markup-compatibility/2006">
      <mc:Choice Requires="x14">
        <control shapeId="7182" r:id="rId22" name="CheckBox10">
          <controlPr locked="0" defaultSize="0" autoLine="0" linkedCell="Sheet1!E183" r:id="rId23">
            <anchor moveWithCells="1">
              <from>
                <xdr:col>12</xdr:col>
                <xdr:colOff>133350</xdr:colOff>
                <xdr:row>79</xdr:row>
                <xdr:rowOff>28575</xdr:rowOff>
              </from>
              <to>
                <xdr:col>12</xdr:col>
                <xdr:colOff>285750</xdr:colOff>
                <xdr:row>80</xdr:row>
                <xdr:rowOff>19050</xdr:rowOff>
              </to>
            </anchor>
          </controlPr>
        </control>
      </mc:Choice>
      <mc:Fallback>
        <control shapeId="7182" r:id="rId22" name="CheckBox10"/>
      </mc:Fallback>
    </mc:AlternateContent>
    <mc:AlternateContent xmlns:mc="http://schemas.openxmlformats.org/markup-compatibility/2006">
      <mc:Choice Requires="x14">
        <control shapeId="7183" r:id="rId24" name="CheckBox11">
          <controlPr locked="0" defaultSize="0" autoLine="0" linkedCell="Sheet1!E184" r:id="rId25">
            <anchor moveWithCells="1">
              <from>
                <xdr:col>12</xdr:col>
                <xdr:colOff>133350</xdr:colOff>
                <xdr:row>80</xdr:row>
                <xdr:rowOff>9525</xdr:rowOff>
              </from>
              <to>
                <xdr:col>12</xdr:col>
                <xdr:colOff>285750</xdr:colOff>
                <xdr:row>81</xdr:row>
                <xdr:rowOff>0</xdr:rowOff>
              </to>
            </anchor>
          </controlPr>
        </control>
      </mc:Choice>
      <mc:Fallback>
        <control shapeId="7183" r:id="rId24" name="CheckBox11"/>
      </mc:Fallback>
    </mc:AlternateContent>
    <mc:AlternateContent xmlns:mc="http://schemas.openxmlformats.org/markup-compatibility/2006">
      <mc:Choice Requires="x14">
        <control shapeId="7184" r:id="rId26" name="CheckBox12">
          <controlPr locked="0" defaultSize="0" autoLine="0" linkedCell="Sheet1!E185" r:id="rId27">
            <anchor moveWithCells="1">
              <from>
                <xdr:col>12</xdr:col>
                <xdr:colOff>133350</xdr:colOff>
                <xdr:row>81</xdr:row>
                <xdr:rowOff>0</xdr:rowOff>
              </from>
              <to>
                <xdr:col>12</xdr:col>
                <xdr:colOff>285750</xdr:colOff>
                <xdr:row>81</xdr:row>
                <xdr:rowOff>200025</xdr:rowOff>
              </to>
            </anchor>
          </controlPr>
        </control>
      </mc:Choice>
      <mc:Fallback>
        <control shapeId="7184" r:id="rId26" name="CheckBox12"/>
      </mc:Fallback>
    </mc:AlternateContent>
    <mc:AlternateContent xmlns:mc="http://schemas.openxmlformats.org/markup-compatibility/2006">
      <mc:Choice Requires="x14">
        <control shapeId="7185" r:id="rId28" name="CheckBox13">
          <controlPr locked="0" defaultSize="0" autoLine="0" linkedCell="Sheet1!E186" r:id="rId29">
            <anchor moveWithCells="1">
              <from>
                <xdr:col>10</xdr:col>
                <xdr:colOff>0</xdr:colOff>
                <xdr:row>83</xdr:row>
                <xdr:rowOff>9525</xdr:rowOff>
              </from>
              <to>
                <xdr:col>10</xdr:col>
                <xdr:colOff>152400</xdr:colOff>
                <xdr:row>84</xdr:row>
                <xdr:rowOff>0</xdr:rowOff>
              </to>
            </anchor>
          </controlPr>
        </control>
      </mc:Choice>
      <mc:Fallback>
        <control shapeId="7185" r:id="rId28" name="CheckBox13"/>
      </mc:Fallback>
    </mc:AlternateContent>
    <mc:AlternateContent xmlns:mc="http://schemas.openxmlformats.org/markup-compatibility/2006">
      <mc:Choice Requires="x14">
        <control shapeId="7186" r:id="rId30" name="CheckBox14">
          <controlPr locked="0" defaultSize="0" autoLine="0" linkedCell="Sheet1!E187" r:id="rId31">
            <anchor moveWithCells="1">
              <from>
                <xdr:col>10</xdr:col>
                <xdr:colOff>0</xdr:colOff>
                <xdr:row>84</xdr:row>
                <xdr:rowOff>19050</xdr:rowOff>
              </from>
              <to>
                <xdr:col>10</xdr:col>
                <xdr:colOff>152400</xdr:colOff>
                <xdr:row>85</xdr:row>
                <xdr:rowOff>9525</xdr:rowOff>
              </to>
            </anchor>
          </controlPr>
        </control>
      </mc:Choice>
      <mc:Fallback>
        <control shapeId="7186" r:id="rId30" name="CheckBox14"/>
      </mc:Fallback>
    </mc:AlternateContent>
    <mc:AlternateContent xmlns:mc="http://schemas.openxmlformats.org/markup-compatibility/2006">
      <mc:Choice Requires="x14">
        <control shapeId="7187" r:id="rId32" name="CheckBox15">
          <controlPr locked="0" defaultSize="0" autoLine="0" linkedCell="Sheet1!E189" r:id="rId33">
            <anchor moveWithCells="1">
              <from>
                <xdr:col>17</xdr:col>
                <xdr:colOff>0</xdr:colOff>
                <xdr:row>79</xdr:row>
                <xdr:rowOff>9525</xdr:rowOff>
              </from>
              <to>
                <xdr:col>17</xdr:col>
                <xdr:colOff>152400</xdr:colOff>
                <xdr:row>80</xdr:row>
                <xdr:rowOff>0</xdr:rowOff>
              </to>
            </anchor>
          </controlPr>
        </control>
      </mc:Choice>
      <mc:Fallback>
        <control shapeId="7187" r:id="rId32" name="CheckBox15"/>
      </mc:Fallback>
    </mc:AlternateContent>
    <mc:AlternateContent xmlns:mc="http://schemas.openxmlformats.org/markup-compatibility/2006">
      <mc:Choice Requires="x14">
        <control shapeId="7188" r:id="rId34" name="CheckBox16">
          <controlPr locked="0" defaultSize="0" autoLine="0" linkedCell="Sheet1!E190" r:id="rId35">
            <anchor moveWithCells="1">
              <from>
                <xdr:col>17</xdr:col>
                <xdr:colOff>0</xdr:colOff>
                <xdr:row>80</xdr:row>
                <xdr:rowOff>0</xdr:rowOff>
              </from>
              <to>
                <xdr:col>17</xdr:col>
                <xdr:colOff>152400</xdr:colOff>
                <xdr:row>80</xdr:row>
                <xdr:rowOff>200025</xdr:rowOff>
              </to>
            </anchor>
          </controlPr>
        </control>
      </mc:Choice>
      <mc:Fallback>
        <control shapeId="7188" r:id="rId34" name="CheckBox16"/>
      </mc:Fallback>
    </mc:AlternateContent>
    <mc:AlternateContent xmlns:mc="http://schemas.openxmlformats.org/markup-compatibility/2006">
      <mc:Choice Requires="x14">
        <control shapeId="7189" r:id="rId36" name="CheckBox17">
          <controlPr locked="0" defaultSize="0" autoLine="0" linkedCell="Sheet1!E191" r:id="rId37">
            <anchor moveWithCells="1">
              <from>
                <xdr:col>19</xdr:col>
                <xdr:colOff>133350</xdr:colOff>
                <xdr:row>79</xdr:row>
                <xdr:rowOff>28575</xdr:rowOff>
              </from>
              <to>
                <xdr:col>19</xdr:col>
                <xdr:colOff>285750</xdr:colOff>
                <xdr:row>80</xdr:row>
                <xdr:rowOff>19050</xdr:rowOff>
              </to>
            </anchor>
          </controlPr>
        </control>
      </mc:Choice>
      <mc:Fallback>
        <control shapeId="7189" r:id="rId36" name="CheckBox17"/>
      </mc:Fallback>
    </mc:AlternateContent>
    <mc:AlternateContent xmlns:mc="http://schemas.openxmlformats.org/markup-compatibility/2006">
      <mc:Choice Requires="x14">
        <control shapeId="7190" r:id="rId38" name="CheckBox18">
          <controlPr locked="0" defaultSize="0" autoLine="0" linkedCell="Sheet1!E192" r:id="rId39">
            <anchor moveWithCells="1">
              <from>
                <xdr:col>19</xdr:col>
                <xdr:colOff>133350</xdr:colOff>
                <xdr:row>80</xdr:row>
                <xdr:rowOff>9525</xdr:rowOff>
              </from>
              <to>
                <xdr:col>19</xdr:col>
                <xdr:colOff>285750</xdr:colOff>
                <xdr:row>81</xdr:row>
                <xdr:rowOff>0</xdr:rowOff>
              </to>
            </anchor>
          </controlPr>
        </control>
      </mc:Choice>
      <mc:Fallback>
        <control shapeId="7190" r:id="rId38" name="CheckBox18"/>
      </mc:Fallback>
    </mc:AlternateContent>
    <mc:AlternateContent xmlns:mc="http://schemas.openxmlformats.org/markup-compatibility/2006">
      <mc:Choice Requires="x14">
        <control shapeId="7191" r:id="rId40" name="CheckBox19">
          <controlPr locked="0" defaultSize="0" autoLine="0" linkedCell="Sheet1!E193" r:id="rId41">
            <anchor moveWithCells="1">
              <from>
                <xdr:col>19</xdr:col>
                <xdr:colOff>133350</xdr:colOff>
                <xdr:row>81</xdr:row>
                <xdr:rowOff>0</xdr:rowOff>
              </from>
              <to>
                <xdr:col>19</xdr:col>
                <xdr:colOff>285750</xdr:colOff>
                <xdr:row>81</xdr:row>
                <xdr:rowOff>200025</xdr:rowOff>
              </to>
            </anchor>
          </controlPr>
        </control>
      </mc:Choice>
      <mc:Fallback>
        <control shapeId="7191" r:id="rId40" name="CheckBox19"/>
      </mc:Fallback>
    </mc:AlternateContent>
    <mc:AlternateContent xmlns:mc="http://schemas.openxmlformats.org/markup-compatibility/2006">
      <mc:Choice Requires="x14">
        <control shapeId="7192" r:id="rId42" name="CheckBox20">
          <controlPr locked="0" defaultSize="0" autoLine="0" linkedCell="Sheet1!E194" r:id="rId43">
            <anchor moveWithCells="1">
              <from>
                <xdr:col>17</xdr:col>
                <xdr:colOff>0</xdr:colOff>
                <xdr:row>83</xdr:row>
                <xdr:rowOff>9525</xdr:rowOff>
              </from>
              <to>
                <xdr:col>17</xdr:col>
                <xdr:colOff>152400</xdr:colOff>
                <xdr:row>84</xdr:row>
                <xdr:rowOff>0</xdr:rowOff>
              </to>
            </anchor>
          </controlPr>
        </control>
      </mc:Choice>
      <mc:Fallback>
        <control shapeId="7192" r:id="rId42" name="CheckBox20"/>
      </mc:Fallback>
    </mc:AlternateContent>
    <mc:AlternateContent xmlns:mc="http://schemas.openxmlformats.org/markup-compatibility/2006">
      <mc:Choice Requires="x14">
        <control shapeId="7193" r:id="rId44" name="CheckBox21">
          <controlPr locked="0" defaultSize="0" autoLine="0" linkedCell="Sheet1!E195" r:id="rId45">
            <anchor moveWithCells="1">
              <from>
                <xdr:col>17</xdr:col>
                <xdr:colOff>0</xdr:colOff>
                <xdr:row>84</xdr:row>
                <xdr:rowOff>19050</xdr:rowOff>
              </from>
              <to>
                <xdr:col>17</xdr:col>
                <xdr:colOff>152400</xdr:colOff>
                <xdr:row>85</xdr:row>
                <xdr:rowOff>9525</xdr:rowOff>
              </to>
            </anchor>
          </controlPr>
        </control>
      </mc:Choice>
      <mc:Fallback>
        <control shapeId="7193" r:id="rId44" name="CheckBox21"/>
      </mc:Fallback>
    </mc:AlternateContent>
    <mc:AlternateContent xmlns:mc="http://schemas.openxmlformats.org/markup-compatibility/2006">
      <mc:Choice Requires="x14">
        <control shapeId="7194" r:id="rId46" name="CheckBox22">
          <controlPr locked="0" defaultSize="0" autoLine="0" linkedCell="Sheet1!E377" r:id="rId47">
            <anchor moveWithCells="1">
              <from>
                <xdr:col>3</xdr:col>
                <xdr:colOff>19050</xdr:colOff>
                <xdr:row>118</xdr:row>
                <xdr:rowOff>9525</xdr:rowOff>
              </from>
              <to>
                <xdr:col>3</xdr:col>
                <xdr:colOff>171450</xdr:colOff>
                <xdr:row>119</xdr:row>
                <xdr:rowOff>0</xdr:rowOff>
              </to>
            </anchor>
          </controlPr>
        </control>
      </mc:Choice>
      <mc:Fallback>
        <control shapeId="7194" r:id="rId46" name="CheckBox22"/>
      </mc:Fallback>
    </mc:AlternateContent>
    <mc:AlternateContent xmlns:mc="http://schemas.openxmlformats.org/markup-compatibility/2006">
      <mc:Choice Requires="x14">
        <control shapeId="7195" r:id="rId48" name="CheckBox23">
          <controlPr locked="0" defaultSize="0" autoLine="0" linkedCell="Sheet1!E378" r:id="rId49">
            <anchor moveWithCells="1">
              <from>
                <xdr:col>3</xdr:col>
                <xdr:colOff>9525</xdr:colOff>
                <xdr:row>119</xdr:row>
                <xdr:rowOff>0</xdr:rowOff>
              </from>
              <to>
                <xdr:col>3</xdr:col>
                <xdr:colOff>161925</xdr:colOff>
                <xdr:row>119</xdr:row>
                <xdr:rowOff>200025</xdr:rowOff>
              </to>
            </anchor>
          </controlPr>
        </control>
      </mc:Choice>
      <mc:Fallback>
        <control shapeId="7195" r:id="rId48" name="CheckBox23"/>
      </mc:Fallback>
    </mc:AlternateContent>
    <mc:AlternateContent xmlns:mc="http://schemas.openxmlformats.org/markup-compatibility/2006">
      <mc:Choice Requires="x14">
        <control shapeId="7196" r:id="rId50" name="CheckBox24">
          <controlPr locked="0" defaultSize="0" autoLine="0" linkedCell="Sheet1!E379" r:id="rId51">
            <anchor moveWithCells="1">
              <from>
                <xdr:col>5</xdr:col>
                <xdr:colOff>171450</xdr:colOff>
                <xdr:row>118</xdr:row>
                <xdr:rowOff>28575</xdr:rowOff>
              </from>
              <to>
                <xdr:col>5</xdr:col>
                <xdr:colOff>323850</xdr:colOff>
                <xdr:row>119</xdr:row>
                <xdr:rowOff>19050</xdr:rowOff>
              </to>
            </anchor>
          </controlPr>
        </control>
      </mc:Choice>
      <mc:Fallback>
        <control shapeId="7196" r:id="rId50" name="CheckBox24"/>
      </mc:Fallback>
    </mc:AlternateContent>
    <mc:AlternateContent xmlns:mc="http://schemas.openxmlformats.org/markup-compatibility/2006">
      <mc:Choice Requires="x14">
        <control shapeId="7197" r:id="rId52" name="CheckBox25">
          <controlPr locked="0" defaultSize="0" autoLine="0" linkedCell="Sheet1!E380" r:id="rId53">
            <anchor moveWithCells="1">
              <from>
                <xdr:col>5</xdr:col>
                <xdr:colOff>171450</xdr:colOff>
                <xdr:row>119</xdr:row>
                <xdr:rowOff>9525</xdr:rowOff>
              </from>
              <to>
                <xdr:col>5</xdr:col>
                <xdr:colOff>323850</xdr:colOff>
                <xdr:row>120</xdr:row>
                <xdr:rowOff>0</xdr:rowOff>
              </to>
            </anchor>
          </controlPr>
        </control>
      </mc:Choice>
      <mc:Fallback>
        <control shapeId="7197" r:id="rId52" name="CheckBox25"/>
      </mc:Fallback>
    </mc:AlternateContent>
    <mc:AlternateContent xmlns:mc="http://schemas.openxmlformats.org/markup-compatibility/2006">
      <mc:Choice Requires="x14">
        <control shapeId="7198" r:id="rId54" name="CheckBox26">
          <controlPr locked="0" defaultSize="0" autoLine="0" linkedCell="Sheet1!E381" r:id="rId55">
            <anchor moveWithCells="1">
              <from>
                <xdr:col>5</xdr:col>
                <xdr:colOff>171450</xdr:colOff>
                <xdr:row>120</xdr:row>
                <xdr:rowOff>0</xdr:rowOff>
              </from>
              <to>
                <xdr:col>5</xdr:col>
                <xdr:colOff>323850</xdr:colOff>
                <xdr:row>120</xdr:row>
                <xdr:rowOff>200025</xdr:rowOff>
              </to>
            </anchor>
          </controlPr>
        </control>
      </mc:Choice>
      <mc:Fallback>
        <control shapeId="7198" r:id="rId54" name="CheckBox26"/>
      </mc:Fallback>
    </mc:AlternateContent>
    <mc:AlternateContent xmlns:mc="http://schemas.openxmlformats.org/markup-compatibility/2006">
      <mc:Choice Requires="x14">
        <control shapeId="7199" r:id="rId56" name="CheckBox27">
          <controlPr locked="0" defaultSize="0" autoLine="0" linkedCell="Sheet1!E382" r:id="rId57">
            <anchor moveWithCells="1">
              <from>
                <xdr:col>3</xdr:col>
                <xdr:colOff>19050</xdr:colOff>
                <xdr:row>122</xdr:row>
                <xdr:rowOff>9525</xdr:rowOff>
              </from>
              <to>
                <xdr:col>3</xdr:col>
                <xdr:colOff>171450</xdr:colOff>
                <xdr:row>123</xdr:row>
                <xdr:rowOff>0</xdr:rowOff>
              </to>
            </anchor>
          </controlPr>
        </control>
      </mc:Choice>
      <mc:Fallback>
        <control shapeId="7199" r:id="rId56" name="CheckBox27"/>
      </mc:Fallback>
    </mc:AlternateContent>
    <mc:AlternateContent xmlns:mc="http://schemas.openxmlformats.org/markup-compatibility/2006">
      <mc:Choice Requires="x14">
        <control shapeId="7200" r:id="rId58" name="CheckBox28">
          <controlPr locked="0" defaultSize="0" autoLine="0" linkedCell="Sheet1!E383" r:id="rId59">
            <anchor moveWithCells="1">
              <from>
                <xdr:col>3</xdr:col>
                <xdr:colOff>19050</xdr:colOff>
                <xdr:row>123</xdr:row>
                <xdr:rowOff>19050</xdr:rowOff>
              </from>
              <to>
                <xdr:col>3</xdr:col>
                <xdr:colOff>171450</xdr:colOff>
                <xdr:row>124</xdr:row>
                <xdr:rowOff>9525</xdr:rowOff>
              </to>
            </anchor>
          </controlPr>
        </control>
      </mc:Choice>
      <mc:Fallback>
        <control shapeId="7200" r:id="rId58" name="CheckBox28"/>
      </mc:Fallback>
    </mc:AlternateContent>
    <mc:AlternateContent xmlns:mc="http://schemas.openxmlformats.org/markup-compatibility/2006">
      <mc:Choice Requires="x14">
        <control shapeId="7201" r:id="rId60" name="CheckBox29">
          <controlPr locked="0" defaultSize="0" autoLine="0" linkedCell="Sheet1!E385" r:id="rId61">
            <anchor moveWithCells="1">
              <from>
                <xdr:col>10</xdr:col>
                <xdr:colOff>19050</xdr:colOff>
                <xdr:row>118</xdr:row>
                <xdr:rowOff>9525</xdr:rowOff>
              </from>
              <to>
                <xdr:col>10</xdr:col>
                <xdr:colOff>161925</xdr:colOff>
                <xdr:row>119</xdr:row>
                <xdr:rowOff>0</xdr:rowOff>
              </to>
            </anchor>
          </controlPr>
        </control>
      </mc:Choice>
      <mc:Fallback>
        <control shapeId="7201" r:id="rId60" name="CheckBox29"/>
      </mc:Fallback>
    </mc:AlternateContent>
    <mc:AlternateContent xmlns:mc="http://schemas.openxmlformats.org/markup-compatibility/2006">
      <mc:Choice Requires="x14">
        <control shapeId="7202" r:id="rId62" name="CheckBox30">
          <controlPr locked="0" defaultSize="0" autoLine="0" linkedCell="Sheet1!E386" r:id="rId63">
            <anchor moveWithCells="1">
              <from>
                <xdr:col>10</xdr:col>
                <xdr:colOff>19050</xdr:colOff>
                <xdr:row>119</xdr:row>
                <xdr:rowOff>0</xdr:rowOff>
              </from>
              <to>
                <xdr:col>10</xdr:col>
                <xdr:colOff>161925</xdr:colOff>
                <xdr:row>119</xdr:row>
                <xdr:rowOff>200025</xdr:rowOff>
              </to>
            </anchor>
          </controlPr>
        </control>
      </mc:Choice>
      <mc:Fallback>
        <control shapeId="7202" r:id="rId62" name="CheckBox30"/>
      </mc:Fallback>
    </mc:AlternateContent>
    <mc:AlternateContent xmlns:mc="http://schemas.openxmlformats.org/markup-compatibility/2006">
      <mc:Choice Requires="x14">
        <control shapeId="7203" r:id="rId64" name="CheckBox31">
          <controlPr locked="0" defaultSize="0" autoLine="0" linkedCell="Sheet1!E387" r:id="rId65">
            <anchor moveWithCells="1">
              <from>
                <xdr:col>12</xdr:col>
                <xdr:colOff>152400</xdr:colOff>
                <xdr:row>118</xdr:row>
                <xdr:rowOff>28575</xdr:rowOff>
              </from>
              <to>
                <xdr:col>12</xdr:col>
                <xdr:colOff>304800</xdr:colOff>
                <xdr:row>119</xdr:row>
                <xdr:rowOff>19050</xdr:rowOff>
              </to>
            </anchor>
          </controlPr>
        </control>
      </mc:Choice>
      <mc:Fallback>
        <control shapeId="7203" r:id="rId64" name="CheckBox31"/>
      </mc:Fallback>
    </mc:AlternateContent>
    <mc:AlternateContent xmlns:mc="http://schemas.openxmlformats.org/markup-compatibility/2006">
      <mc:Choice Requires="x14">
        <control shapeId="7204" r:id="rId66" name="CheckBox32">
          <controlPr locked="0" defaultSize="0" autoLine="0" linkedCell="Sheet1!E388" r:id="rId67">
            <anchor moveWithCells="1">
              <from>
                <xdr:col>12</xdr:col>
                <xdr:colOff>152400</xdr:colOff>
                <xdr:row>119</xdr:row>
                <xdr:rowOff>9525</xdr:rowOff>
              </from>
              <to>
                <xdr:col>12</xdr:col>
                <xdr:colOff>304800</xdr:colOff>
                <xdr:row>120</xdr:row>
                <xdr:rowOff>0</xdr:rowOff>
              </to>
            </anchor>
          </controlPr>
        </control>
      </mc:Choice>
      <mc:Fallback>
        <control shapeId="7204" r:id="rId66" name="CheckBox32"/>
      </mc:Fallback>
    </mc:AlternateContent>
    <mc:AlternateContent xmlns:mc="http://schemas.openxmlformats.org/markup-compatibility/2006">
      <mc:Choice Requires="x14">
        <control shapeId="7205" r:id="rId68" name="CheckBox33">
          <controlPr locked="0" defaultSize="0" autoLine="0" linkedCell="Sheet1!E389" r:id="rId69">
            <anchor moveWithCells="1">
              <from>
                <xdr:col>12</xdr:col>
                <xdr:colOff>152400</xdr:colOff>
                <xdr:row>120</xdr:row>
                <xdr:rowOff>0</xdr:rowOff>
              </from>
              <to>
                <xdr:col>12</xdr:col>
                <xdr:colOff>304800</xdr:colOff>
                <xdr:row>120</xdr:row>
                <xdr:rowOff>200025</xdr:rowOff>
              </to>
            </anchor>
          </controlPr>
        </control>
      </mc:Choice>
      <mc:Fallback>
        <control shapeId="7205" r:id="rId68" name="CheckBox33"/>
      </mc:Fallback>
    </mc:AlternateContent>
    <mc:AlternateContent xmlns:mc="http://schemas.openxmlformats.org/markup-compatibility/2006">
      <mc:Choice Requires="x14">
        <control shapeId="7206" r:id="rId70" name="CheckBox34">
          <controlPr locked="0" defaultSize="0" autoLine="0" linkedCell="Sheet1!E390" r:id="rId71">
            <anchor moveWithCells="1">
              <from>
                <xdr:col>10</xdr:col>
                <xdr:colOff>19050</xdr:colOff>
                <xdr:row>122</xdr:row>
                <xdr:rowOff>9525</xdr:rowOff>
              </from>
              <to>
                <xdr:col>10</xdr:col>
                <xdr:colOff>161925</xdr:colOff>
                <xdr:row>123</xdr:row>
                <xdr:rowOff>0</xdr:rowOff>
              </to>
            </anchor>
          </controlPr>
        </control>
      </mc:Choice>
      <mc:Fallback>
        <control shapeId="7206" r:id="rId70" name="CheckBox34"/>
      </mc:Fallback>
    </mc:AlternateContent>
    <mc:AlternateContent xmlns:mc="http://schemas.openxmlformats.org/markup-compatibility/2006">
      <mc:Choice Requires="x14">
        <control shapeId="7207" r:id="rId72" name="CheckBox35">
          <controlPr locked="0" defaultSize="0" autoLine="0" linkedCell="Sheet1!E391" r:id="rId73">
            <anchor moveWithCells="1">
              <from>
                <xdr:col>10</xdr:col>
                <xdr:colOff>19050</xdr:colOff>
                <xdr:row>123</xdr:row>
                <xdr:rowOff>19050</xdr:rowOff>
              </from>
              <to>
                <xdr:col>10</xdr:col>
                <xdr:colOff>161925</xdr:colOff>
                <xdr:row>124</xdr:row>
                <xdr:rowOff>9525</xdr:rowOff>
              </to>
            </anchor>
          </controlPr>
        </control>
      </mc:Choice>
      <mc:Fallback>
        <control shapeId="7207" r:id="rId72" name="CheckBox35"/>
      </mc:Fallback>
    </mc:AlternateContent>
    <mc:AlternateContent xmlns:mc="http://schemas.openxmlformats.org/markup-compatibility/2006">
      <mc:Choice Requires="x14">
        <control shapeId="7208" r:id="rId74" name="CheckBox36">
          <controlPr locked="0" defaultSize="0" autoLine="0" linkedCell="Sheet1!E393" r:id="rId75">
            <anchor moveWithCells="1">
              <from>
                <xdr:col>17</xdr:col>
                <xdr:colOff>19050</xdr:colOff>
                <xdr:row>118</xdr:row>
                <xdr:rowOff>9525</xdr:rowOff>
              </from>
              <to>
                <xdr:col>17</xdr:col>
                <xdr:colOff>171450</xdr:colOff>
                <xdr:row>119</xdr:row>
                <xdr:rowOff>0</xdr:rowOff>
              </to>
            </anchor>
          </controlPr>
        </control>
      </mc:Choice>
      <mc:Fallback>
        <control shapeId="7208" r:id="rId74" name="CheckBox36"/>
      </mc:Fallback>
    </mc:AlternateContent>
    <mc:AlternateContent xmlns:mc="http://schemas.openxmlformats.org/markup-compatibility/2006">
      <mc:Choice Requires="x14">
        <control shapeId="7209" r:id="rId76" name="CheckBox37">
          <controlPr locked="0" defaultSize="0" autoLine="0" linkedCell="Sheet1!E394" r:id="rId77">
            <anchor moveWithCells="1">
              <from>
                <xdr:col>17</xdr:col>
                <xdr:colOff>19050</xdr:colOff>
                <xdr:row>119</xdr:row>
                <xdr:rowOff>0</xdr:rowOff>
              </from>
              <to>
                <xdr:col>17</xdr:col>
                <xdr:colOff>171450</xdr:colOff>
                <xdr:row>119</xdr:row>
                <xdr:rowOff>200025</xdr:rowOff>
              </to>
            </anchor>
          </controlPr>
        </control>
      </mc:Choice>
      <mc:Fallback>
        <control shapeId="7209" r:id="rId76" name="CheckBox37"/>
      </mc:Fallback>
    </mc:AlternateContent>
    <mc:AlternateContent xmlns:mc="http://schemas.openxmlformats.org/markup-compatibility/2006">
      <mc:Choice Requires="x14">
        <control shapeId="7210" r:id="rId78" name="CheckBox38">
          <controlPr locked="0" defaultSize="0" autoLine="0" linkedCell="Sheet1!E395" r:id="rId79">
            <anchor moveWithCells="1">
              <from>
                <xdr:col>19</xdr:col>
                <xdr:colOff>152400</xdr:colOff>
                <xdr:row>118</xdr:row>
                <xdr:rowOff>28575</xdr:rowOff>
              </from>
              <to>
                <xdr:col>19</xdr:col>
                <xdr:colOff>304800</xdr:colOff>
                <xdr:row>119</xdr:row>
                <xdr:rowOff>19050</xdr:rowOff>
              </to>
            </anchor>
          </controlPr>
        </control>
      </mc:Choice>
      <mc:Fallback>
        <control shapeId="7210" r:id="rId78" name="CheckBox38"/>
      </mc:Fallback>
    </mc:AlternateContent>
    <mc:AlternateContent xmlns:mc="http://schemas.openxmlformats.org/markup-compatibility/2006">
      <mc:Choice Requires="x14">
        <control shapeId="7211" r:id="rId80" name="CheckBox39">
          <controlPr locked="0" defaultSize="0" autoLine="0" linkedCell="Sheet1!E396" r:id="rId81">
            <anchor moveWithCells="1">
              <from>
                <xdr:col>19</xdr:col>
                <xdr:colOff>152400</xdr:colOff>
                <xdr:row>119</xdr:row>
                <xdr:rowOff>9525</xdr:rowOff>
              </from>
              <to>
                <xdr:col>19</xdr:col>
                <xdr:colOff>304800</xdr:colOff>
                <xdr:row>120</xdr:row>
                <xdr:rowOff>0</xdr:rowOff>
              </to>
            </anchor>
          </controlPr>
        </control>
      </mc:Choice>
      <mc:Fallback>
        <control shapeId="7211" r:id="rId80" name="CheckBox39"/>
      </mc:Fallback>
    </mc:AlternateContent>
    <mc:AlternateContent xmlns:mc="http://schemas.openxmlformats.org/markup-compatibility/2006">
      <mc:Choice Requires="x14">
        <control shapeId="7212" r:id="rId82" name="CheckBox40">
          <controlPr locked="0" defaultSize="0" autoLine="0" linkedCell="Sheet1!E397" r:id="rId83">
            <anchor moveWithCells="1">
              <from>
                <xdr:col>19</xdr:col>
                <xdr:colOff>152400</xdr:colOff>
                <xdr:row>120</xdr:row>
                <xdr:rowOff>0</xdr:rowOff>
              </from>
              <to>
                <xdr:col>19</xdr:col>
                <xdr:colOff>304800</xdr:colOff>
                <xdr:row>120</xdr:row>
                <xdr:rowOff>200025</xdr:rowOff>
              </to>
            </anchor>
          </controlPr>
        </control>
      </mc:Choice>
      <mc:Fallback>
        <control shapeId="7212" r:id="rId82" name="CheckBox40"/>
      </mc:Fallback>
    </mc:AlternateContent>
    <mc:AlternateContent xmlns:mc="http://schemas.openxmlformats.org/markup-compatibility/2006">
      <mc:Choice Requires="x14">
        <control shapeId="7213" r:id="rId84" name="CheckBox41">
          <controlPr locked="0" defaultSize="0" autoLine="0" linkedCell="Sheet1!E398" r:id="rId85">
            <anchor moveWithCells="1">
              <from>
                <xdr:col>17</xdr:col>
                <xdr:colOff>19050</xdr:colOff>
                <xdr:row>122</xdr:row>
                <xdr:rowOff>9525</xdr:rowOff>
              </from>
              <to>
                <xdr:col>17</xdr:col>
                <xdr:colOff>171450</xdr:colOff>
                <xdr:row>123</xdr:row>
                <xdr:rowOff>0</xdr:rowOff>
              </to>
            </anchor>
          </controlPr>
        </control>
      </mc:Choice>
      <mc:Fallback>
        <control shapeId="7213" r:id="rId84" name="CheckBox41"/>
      </mc:Fallback>
    </mc:AlternateContent>
    <mc:AlternateContent xmlns:mc="http://schemas.openxmlformats.org/markup-compatibility/2006">
      <mc:Choice Requires="x14">
        <control shapeId="7214" r:id="rId86" name="CheckBox42">
          <controlPr locked="0" defaultSize="0" autoLine="0" linkedCell="Sheet1!E399" r:id="rId87">
            <anchor moveWithCells="1">
              <from>
                <xdr:col>17</xdr:col>
                <xdr:colOff>19050</xdr:colOff>
                <xdr:row>123</xdr:row>
                <xdr:rowOff>19050</xdr:rowOff>
              </from>
              <to>
                <xdr:col>17</xdr:col>
                <xdr:colOff>171450</xdr:colOff>
                <xdr:row>124</xdr:row>
                <xdr:rowOff>9525</xdr:rowOff>
              </to>
            </anchor>
          </controlPr>
        </control>
      </mc:Choice>
      <mc:Fallback>
        <control shapeId="7214" r:id="rId86" name="CheckBox42"/>
      </mc:Fallback>
    </mc:AlternateContent>
    <mc:AlternateContent xmlns:mc="http://schemas.openxmlformats.org/markup-compatibility/2006">
      <mc:Choice Requires="x14">
        <control shapeId="7215" r:id="rId88" name="CheckBox43">
          <controlPr locked="0" defaultSize="0" autoLine="0" linkedCell="Sheet1!E425" r:id="rId89">
            <anchor moveWithCells="1">
              <from>
                <xdr:col>3</xdr:col>
                <xdr:colOff>19050</xdr:colOff>
                <xdr:row>157</xdr:row>
                <xdr:rowOff>9525</xdr:rowOff>
              </from>
              <to>
                <xdr:col>3</xdr:col>
                <xdr:colOff>171450</xdr:colOff>
                <xdr:row>158</xdr:row>
                <xdr:rowOff>0</xdr:rowOff>
              </to>
            </anchor>
          </controlPr>
        </control>
      </mc:Choice>
      <mc:Fallback>
        <control shapeId="7215" r:id="rId88" name="CheckBox43"/>
      </mc:Fallback>
    </mc:AlternateContent>
    <mc:AlternateContent xmlns:mc="http://schemas.openxmlformats.org/markup-compatibility/2006">
      <mc:Choice Requires="x14">
        <control shapeId="7216" r:id="rId90" name="CheckBox44">
          <controlPr locked="0" defaultSize="0" autoLine="0" linkedCell="Sheet1!E426" r:id="rId91">
            <anchor moveWithCells="1">
              <from>
                <xdr:col>3</xdr:col>
                <xdr:colOff>19050</xdr:colOff>
                <xdr:row>158</xdr:row>
                <xdr:rowOff>0</xdr:rowOff>
              </from>
              <to>
                <xdr:col>3</xdr:col>
                <xdr:colOff>171450</xdr:colOff>
                <xdr:row>158</xdr:row>
                <xdr:rowOff>200025</xdr:rowOff>
              </to>
            </anchor>
          </controlPr>
        </control>
      </mc:Choice>
      <mc:Fallback>
        <control shapeId="7216" r:id="rId90" name="CheckBox44"/>
      </mc:Fallback>
    </mc:AlternateContent>
    <mc:AlternateContent xmlns:mc="http://schemas.openxmlformats.org/markup-compatibility/2006">
      <mc:Choice Requires="x14">
        <control shapeId="7217" r:id="rId92" name="CheckBox45">
          <controlPr locked="0" defaultSize="0" autoLine="0" linkedCell="Sheet1!E427" r:id="rId93">
            <anchor moveWithCells="1">
              <from>
                <xdr:col>5</xdr:col>
                <xdr:colOff>171450</xdr:colOff>
                <xdr:row>157</xdr:row>
                <xdr:rowOff>28575</xdr:rowOff>
              </from>
              <to>
                <xdr:col>5</xdr:col>
                <xdr:colOff>323850</xdr:colOff>
                <xdr:row>158</xdr:row>
                <xdr:rowOff>19050</xdr:rowOff>
              </to>
            </anchor>
          </controlPr>
        </control>
      </mc:Choice>
      <mc:Fallback>
        <control shapeId="7217" r:id="rId92" name="CheckBox45"/>
      </mc:Fallback>
    </mc:AlternateContent>
    <mc:AlternateContent xmlns:mc="http://schemas.openxmlformats.org/markup-compatibility/2006">
      <mc:Choice Requires="x14">
        <control shapeId="7218" r:id="rId94" name="CheckBox46">
          <controlPr locked="0" defaultSize="0" autoLine="0" linkedCell="Sheet1!E428" r:id="rId95">
            <anchor moveWithCells="1">
              <from>
                <xdr:col>5</xdr:col>
                <xdr:colOff>171450</xdr:colOff>
                <xdr:row>158</xdr:row>
                <xdr:rowOff>9525</xdr:rowOff>
              </from>
              <to>
                <xdr:col>5</xdr:col>
                <xdr:colOff>323850</xdr:colOff>
                <xdr:row>159</xdr:row>
                <xdr:rowOff>0</xdr:rowOff>
              </to>
            </anchor>
          </controlPr>
        </control>
      </mc:Choice>
      <mc:Fallback>
        <control shapeId="7218" r:id="rId94" name="CheckBox46"/>
      </mc:Fallback>
    </mc:AlternateContent>
    <mc:AlternateContent xmlns:mc="http://schemas.openxmlformats.org/markup-compatibility/2006">
      <mc:Choice Requires="x14">
        <control shapeId="7219" r:id="rId96" name="CheckBox47">
          <controlPr locked="0" defaultSize="0" autoLine="0" linkedCell="Sheet1!E429" r:id="rId97">
            <anchor moveWithCells="1">
              <from>
                <xdr:col>5</xdr:col>
                <xdr:colOff>171450</xdr:colOff>
                <xdr:row>159</xdr:row>
                <xdr:rowOff>0</xdr:rowOff>
              </from>
              <to>
                <xdr:col>5</xdr:col>
                <xdr:colOff>323850</xdr:colOff>
                <xdr:row>159</xdr:row>
                <xdr:rowOff>200025</xdr:rowOff>
              </to>
            </anchor>
          </controlPr>
        </control>
      </mc:Choice>
      <mc:Fallback>
        <control shapeId="7219" r:id="rId96" name="CheckBox47"/>
      </mc:Fallback>
    </mc:AlternateContent>
    <mc:AlternateContent xmlns:mc="http://schemas.openxmlformats.org/markup-compatibility/2006">
      <mc:Choice Requires="x14">
        <control shapeId="7220" r:id="rId98" name="CheckBox48">
          <controlPr locked="0" defaultSize="0" autoLine="0" linkedCell="Sheet1!E430" r:id="rId99">
            <anchor moveWithCells="1">
              <from>
                <xdr:col>3</xdr:col>
                <xdr:colOff>19050</xdr:colOff>
                <xdr:row>161</xdr:row>
                <xdr:rowOff>9525</xdr:rowOff>
              </from>
              <to>
                <xdr:col>3</xdr:col>
                <xdr:colOff>171450</xdr:colOff>
                <xdr:row>162</xdr:row>
                <xdr:rowOff>0</xdr:rowOff>
              </to>
            </anchor>
          </controlPr>
        </control>
      </mc:Choice>
      <mc:Fallback>
        <control shapeId="7220" r:id="rId98" name="CheckBox48"/>
      </mc:Fallback>
    </mc:AlternateContent>
    <mc:AlternateContent xmlns:mc="http://schemas.openxmlformats.org/markup-compatibility/2006">
      <mc:Choice Requires="x14">
        <control shapeId="7221" r:id="rId100" name="CheckBox49">
          <controlPr locked="0" defaultSize="0" autoLine="0" linkedCell="Sheet1!E431" r:id="rId101">
            <anchor moveWithCells="1">
              <from>
                <xdr:col>3</xdr:col>
                <xdr:colOff>19050</xdr:colOff>
                <xdr:row>162</xdr:row>
                <xdr:rowOff>19050</xdr:rowOff>
              </from>
              <to>
                <xdr:col>3</xdr:col>
                <xdr:colOff>171450</xdr:colOff>
                <xdr:row>163</xdr:row>
                <xdr:rowOff>9525</xdr:rowOff>
              </to>
            </anchor>
          </controlPr>
        </control>
      </mc:Choice>
      <mc:Fallback>
        <control shapeId="7221" r:id="rId100" name="CheckBox49"/>
      </mc:Fallback>
    </mc:AlternateContent>
    <mc:AlternateContent xmlns:mc="http://schemas.openxmlformats.org/markup-compatibility/2006">
      <mc:Choice Requires="x14">
        <control shapeId="7222" r:id="rId102" name="CheckBox50">
          <controlPr locked="0" defaultSize="0" autoLine="0" linkedCell="Sheet1!E433" r:id="rId103">
            <anchor moveWithCells="1">
              <from>
                <xdr:col>10</xdr:col>
                <xdr:colOff>19050</xdr:colOff>
                <xdr:row>157</xdr:row>
                <xdr:rowOff>9525</xdr:rowOff>
              </from>
              <to>
                <xdr:col>10</xdr:col>
                <xdr:colOff>161925</xdr:colOff>
                <xdr:row>158</xdr:row>
                <xdr:rowOff>0</xdr:rowOff>
              </to>
            </anchor>
          </controlPr>
        </control>
      </mc:Choice>
      <mc:Fallback>
        <control shapeId="7222" r:id="rId102" name="CheckBox50"/>
      </mc:Fallback>
    </mc:AlternateContent>
    <mc:AlternateContent xmlns:mc="http://schemas.openxmlformats.org/markup-compatibility/2006">
      <mc:Choice Requires="x14">
        <control shapeId="7223" r:id="rId104" name="CheckBox51">
          <controlPr locked="0" defaultSize="0" autoLine="0" linkedCell="Sheet1!E434" r:id="rId105">
            <anchor moveWithCells="1">
              <from>
                <xdr:col>10</xdr:col>
                <xdr:colOff>19050</xdr:colOff>
                <xdr:row>158</xdr:row>
                <xdr:rowOff>0</xdr:rowOff>
              </from>
              <to>
                <xdr:col>10</xdr:col>
                <xdr:colOff>161925</xdr:colOff>
                <xdr:row>158</xdr:row>
                <xdr:rowOff>200025</xdr:rowOff>
              </to>
            </anchor>
          </controlPr>
        </control>
      </mc:Choice>
      <mc:Fallback>
        <control shapeId="7223" r:id="rId104" name="CheckBox51"/>
      </mc:Fallback>
    </mc:AlternateContent>
    <mc:AlternateContent xmlns:mc="http://schemas.openxmlformats.org/markup-compatibility/2006">
      <mc:Choice Requires="x14">
        <control shapeId="7224" r:id="rId106" name="CheckBox52">
          <controlPr locked="0" defaultSize="0" autoLine="0" linkedCell="Sheet1!E435" r:id="rId107">
            <anchor moveWithCells="1">
              <from>
                <xdr:col>12</xdr:col>
                <xdr:colOff>152400</xdr:colOff>
                <xdr:row>157</xdr:row>
                <xdr:rowOff>28575</xdr:rowOff>
              </from>
              <to>
                <xdr:col>12</xdr:col>
                <xdr:colOff>304800</xdr:colOff>
                <xdr:row>158</xdr:row>
                <xdr:rowOff>19050</xdr:rowOff>
              </to>
            </anchor>
          </controlPr>
        </control>
      </mc:Choice>
      <mc:Fallback>
        <control shapeId="7224" r:id="rId106" name="CheckBox52"/>
      </mc:Fallback>
    </mc:AlternateContent>
    <mc:AlternateContent xmlns:mc="http://schemas.openxmlformats.org/markup-compatibility/2006">
      <mc:Choice Requires="x14">
        <control shapeId="7225" r:id="rId108" name="CheckBox53">
          <controlPr locked="0" defaultSize="0" autoLine="0" linkedCell="Sheet1!E436" r:id="rId109">
            <anchor moveWithCells="1">
              <from>
                <xdr:col>12</xdr:col>
                <xdr:colOff>152400</xdr:colOff>
                <xdr:row>158</xdr:row>
                <xdr:rowOff>9525</xdr:rowOff>
              </from>
              <to>
                <xdr:col>12</xdr:col>
                <xdr:colOff>304800</xdr:colOff>
                <xdr:row>159</xdr:row>
                <xdr:rowOff>0</xdr:rowOff>
              </to>
            </anchor>
          </controlPr>
        </control>
      </mc:Choice>
      <mc:Fallback>
        <control shapeId="7225" r:id="rId108" name="CheckBox53"/>
      </mc:Fallback>
    </mc:AlternateContent>
    <mc:AlternateContent xmlns:mc="http://schemas.openxmlformats.org/markup-compatibility/2006">
      <mc:Choice Requires="x14">
        <control shapeId="7226" r:id="rId110" name="CheckBox54">
          <controlPr locked="0" defaultSize="0" autoLine="0" linkedCell="Sheet1!E437" r:id="rId111">
            <anchor moveWithCells="1">
              <from>
                <xdr:col>12</xdr:col>
                <xdr:colOff>152400</xdr:colOff>
                <xdr:row>159</xdr:row>
                <xdr:rowOff>0</xdr:rowOff>
              </from>
              <to>
                <xdr:col>12</xdr:col>
                <xdr:colOff>304800</xdr:colOff>
                <xdr:row>159</xdr:row>
                <xdr:rowOff>200025</xdr:rowOff>
              </to>
            </anchor>
          </controlPr>
        </control>
      </mc:Choice>
      <mc:Fallback>
        <control shapeId="7226" r:id="rId110" name="CheckBox54"/>
      </mc:Fallback>
    </mc:AlternateContent>
    <mc:AlternateContent xmlns:mc="http://schemas.openxmlformats.org/markup-compatibility/2006">
      <mc:Choice Requires="x14">
        <control shapeId="7227" r:id="rId112" name="CheckBox55">
          <controlPr locked="0" defaultSize="0" autoLine="0" linkedCell="Sheet1!E438" r:id="rId113">
            <anchor moveWithCells="1">
              <from>
                <xdr:col>10</xdr:col>
                <xdr:colOff>19050</xdr:colOff>
                <xdr:row>161</xdr:row>
                <xdr:rowOff>9525</xdr:rowOff>
              </from>
              <to>
                <xdr:col>10</xdr:col>
                <xdr:colOff>161925</xdr:colOff>
                <xdr:row>162</xdr:row>
                <xdr:rowOff>0</xdr:rowOff>
              </to>
            </anchor>
          </controlPr>
        </control>
      </mc:Choice>
      <mc:Fallback>
        <control shapeId="7227" r:id="rId112" name="CheckBox55"/>
      </mc:Fallback>
    </mc:AlternateContent>
    <mc:AlternateContent xmlns:mc="http://schemas.openxmlformats.org/markup-compatibility/2006">
      <mc:Choice Requires="x14">
        <control shapeId="7228" r:id="rId114" name="CheckBox56">
          <controlPr locked="0" defaultSize="0" autoLine="0" linkedCell="Sheet1!E439" r:id="rId115">
            <anchor moveWithCells="1">
              <from>
                <xdr:col>10</xdr:col>
                <xdr:colOff>19050</xdr:colOff>
                <xdr:row>162</xdr:row>
                <xdr:rowOff>19050</xdr:rowOff>
              </from>
              <to>
                <xdr:col>10</xdr:col>
                <xdr:colOff>161925</xdr:colOff>
                <xdr:row>163</xdr:row>
                <xdr:rowOff>9525</xdr:rowOff>
              </to>
            </anchor>
          </controlPr>
        </control>
      </mc:Choice>
      <mc:Fallback>
        <control shapeId="7228" r:id="rId114" name="CheckBox56"/>
      </mc:Fallback>
    </mc:AlternateContent>
    <mc:AlternateContent xmlns:mc="http://schemas.openxmlformats.org/markup-compatibility/2006">
      <mc:Choice Requires="x14">
        <control shapeId="7229" r:id="rId116" name="CheckBox57">
          <controlPr locked="0" defaultSize="0" autoLine="0" linkedCell="Sheet1!E441" r:id="rId117">
            <anchor moveWithCells="1">
              <from>
                <xdr:col>17</xdr:col>
                <xdr:colOff>19050</xdr:colOff>
                <xdr:row>157</xdr:row>
                <xdr:rowOff>9525</xdr:rowOff>
              </from>
              <to>
                <xdr:col>17</xdr:col>
                <xdr:colOff>171450</xdr:colOff>
                <xdr:row>158</xdr:row>
                <xdr:rowOff>0</xdr:rowOff>
              </to>
            </anchor>
          </controlPr>
        </control>
      </mc:Choice>
      <mc:Fallback>
        <control shapeId="7229" r:id="rId116" name="CheckBox57"/>
      </mc:Fallback>
    </mc:AlternateContent>
    <mc:AlternateContent xmlns:mc="http://schemas.openxmlformats.org/markup-compatibility/2006">
      <mc:Choice Requires="x14">
        <control shapeId="7230" r:id="rId118" name="CheckBox58">
          <controlPr locked="0" defaultSize="0" autoLine="0" linkedCell="Sheet1!E442" r:id="rId119">
            <anchor moveWithCells="1">
              <from>
                <xdr:col>17</xdr:col>
                <xdr:colOff>19050</xdr:colOff>
                <xdr:row>158</xdr:row>
                <xdr:rowOff>0</xdr:rowOff>
              </from>
              <to>
                <xdr:col>17</xdr:col>
                <xdr:colOff>171450</xdr:colOff>
                <xdr:row>158</xdr:row>
                <xdr:rowOff>200025</xdr:rowOff>
              </to>
            </anchor>
          </controlPr>
        </control>
      </mc:Choice>
      <mc:Fallback>
        <control shapeId="7230" r:id="rId118" name="CheckBox58"/>
      </mc:Fallback>
    </mc:AlternateContent>
    <mc:AlternateContent xmlns:mc="http://schemas.openxmlformats.org/markup-compatibility/2006">
      <mc:Choice Requires="x14">
        <control shapeId="7231" r:id="rId120" name="CheckBox59">
          <controlPr locked="0" defaultSize="0" autoLine="0" linkedCell="Sheet1!E443" r:id="rId121">
            <anchor moveWithCells="1">
              <from>
                <xdr:col>19</xdr:col>
                <xdr:colOff>152400</xdr:colOff>
                <xdr:row>157</xdr:row>
                <xdr:rowOff>28575</xdr:rowOff>
              </from>
              <to>
                <xdr:col>19</xdr:col>
                <xdr:colOff>304800</xdr:colOff>
                <xdr:row>158</xdr:row>
                <xdr:rowOff>19050</xdr:rowOff>
              </to>
            </anchor>
          </controlPr>
        </control>
      </mc:Choice>
      <mc:Fallback>
        <control shapeId="7231" r:id="rId120" name="CheckBox59"/>
      </mc:Fallback>
    </mc:AlternateContent>
    <mc:AlternateContent xmlns:mc="http://schemas.openxmlformats.org/markup-compatibility/2006">
      <mc:Choice Requires="x14">
        <control shapeId="7232" r:id="rId122" name="CheckBox60">
          <controlPr locked="0" defaultSize="0" autoLine="0" linkedCell="Sheet1!E444" r:id="rId123">
            <anchor moveWithCells="1">
              <from>
                <xdr:col>19</xdr:col>
                <xdr:colOff>152400</xdr:colOff>
                <xdr:row>158</xdr:row>
                <xdr:rowOff>9525</xdr:rowOff>
              </from>
              <to>
                <xdr:col>19</xdr:col>
                <xdr:colOff>304800</xdr:colOff>
                <xdr:row>159</xdr:row>
                <xdr:rowOff>0</xdr:rowOff>
              </to>
            </anchor>
          </controlPr>
        </control>
      </mc:Choice>
      <mc:Fallback>
        <control shapeId="7232" r:id="rId122" name="CheckBox60"/>
      </mc:Fallback>
    </mc:AlternateContent>
    <mc:AlternateContent xmlns:mc="http://schemas.openxmlformats.org/markup-compatibility/2006">
      <mc:Choice Requires="x14">
        <control shapeId="7233" r:id="rId124" name="CheckBox61">
          <controlPr locked="0" defaultSize="0" autoLine="0" linkedCell="Sheet1!E445" r:id="rId125">
            <anchor moveWithCells="1">
              <from>
                <xdr:col>19</xdr:col>
                <xdr:colOff>152400</xdr:colOff>
                <xdr:row>159</xdr:row>
                <xdr:rowOff>0</xdr:rowOff>
              </from>
              <to>
                <xdr:col>19</xdr:col>
                <xdr:colOff>304800</xdr:colOff>
                <xdr:row>159</xdr:row>
                <xdr:rowOff>200025</xdr:rowOff>
              </to>
            </anchor>
          </controlPr>
        </control>
      </mc:Choice>
      <mc:Fallback>
        <control shapeId="7233" r:id="rId124" name="CheckBox61"/>
      </mc:Fallback>
    </mc:AlternateContent>
    <mc:AlternateContent xmlns:mc="http://schemas.openxmlformats.org/markup-compatibility/2006">
      <mc:Choice Requires="x14">
        <control shapeId="7234" r:id="rId126" name="CheckBox62">
          <controlPr locked="0" defaultSize="0" autoLine="0" linkedCell="Sheet1!E446" r:id="rId127">
            <anchor moveWithCells="1">
              <from>
                <xdr:col>17</xdr:col>
                <xdr:colOff>19050</xdr:colOff>
                <xdr:row>161</xdr:row>
                <xdr:rowOff>9525</xdr:rowOff>
              </from>
              <to>
                <xdr:col>17</xdr:col>
                <xdr:colOff>171450</xdr:colOff>
                <xdr:row>162</xdr:row>
                <xdr:rowOff>0</xdr:rowOff>
              </to>
            </anchor>
          </controlPr>
        </control>
      </mc:Choice>
      <mc:Fallback>
        <control shapeId="7234" r:id="rId126" name="CheckBox62"/>
      </mc:Fallback>
    </mc:AlternateContent>
    <mc:AlternateContent xmlns:mc="http://schemas.openxmlformats.org/markup-compatibility/2006">
      <mc:Choice Requires="x14">
        <control shapeId="7235" r:id="rId128" name="CheckBox63">
          <controlPr locked="0" defaultSize="0" autoLine="0" linkedCell="Sheet1!E447" r:id="rId129">
            <anchor moveWithCells="1">
              <from>
                <xdr:col>17</xdr:col>
                <xdr:colOff>19050</xdr:colOff>
                <xdr:row>162</xdr:row>
                <xdr:rowOff>19050</xdr:rowOff>
              </from>
              <to>
                <xdr:col>17</xdr:col>
                <xdr:colOff>171450</xdr:colOff>
                <xdr:row>163</xdr:row>
                <xdr:rowOff>9525</xdr:rowOff>
              </to>
            </anchor>
          </controlPr>
        </control>
      </mc:Choice>
      <mc:Fallback>
        <control shapeId="7235" r:id="rId128" name="CheckBox63"/>
      </mc:Fallback>
    </mc:AlternateContent>
    <mc:AlternateContent xmlns:mc="http://schemas.openxmlformats.org/markup-compatibility/2006">
      <mc:Choice Requires="x14">
        <control shapeId="7236" r:id="rId130" name="ComboBox1">
          <controlPr defaultSize="0" autoLine="0" autoPict="0" linkedCell="K15" listFillRange="Hospitals" r:id="rId131">
            <anchor moveWithCells="1">
              <from>
                <xdr:col>10</xdr:col>
                <xdr:colOff>9525</xdr:colOff>
                <xdr:row>12</xdr:row>
                <xdr:rowOff>47625</xdr:rowOff>
              </from>
              <to>
                <xdr:col>22</xdr:col>
                <xdr:colOff>57150</xdr:colOff>
                <xdr:row>14</xdr:row>
                <xdr:rowOff>200025</xdr:rowOff>
              </to>
            </anchor>
          </controlPr>
        </control>
      </mc:Choice>
      <mc:Fallback>
        <control shapeId="7236" r:id="rId130" name="ComboBox1"/>
      </mc:Fallback>
    </mc:AlternateContent>
    <mc:AlternateContent xmlns:mc="http://schemas.openxmlformats.org/markup-compatibility/2006">
      <mc:Choice Requires="x14">
        <control shapeId="7238" r:id="rId132" name="ComboBox2">
          <controlPr defaultSize="0" autoLine="0" linkedCell="D8" listFillRange="Territory" r:id="rId133">
            <anchor moveWithCells="1">
              <from>
                <xdr:col>3</xdr:col>
                <xdr:colOff>0</xdr:colOff>
                <xdr:row>6</xdr:row>
                <xdr:rowOff>104775</xdr:rowOff>
              </from>
              <to>
                <xdr:col>10</xdr:col>
                <xdr:colOff>152400</xdr:colOff>
                <xdr:row>7</xdr:row>
                <xdr:rowOff>190500</xdr:rowOff>
              </to>
            </anchor>
          </controlPr>
        </control>
      </mc:Choice>
      <mc:Fallback>
        <control shapeId="7238" r:id="rId132" name="ComboBox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1"/>
  <dimension ref="A1:Y207"/>
  <sheetViews>
    <sheetView topLeftCell="A58" zoomScale="110" zoomScaleNormal="110" workbookViewId="0">
      <selection activeCell="D16" sqref="D16:F16"/>
    </sheetView>
  </sheetViews>
  <sheetFormatPr defaultColWidth="9.140625" defaultRowHeight="15.75" x14ac:dyDescent="0.3"/>
  <cols>
    <col min="1" max="1" width="9.140625" style="115"/>
    <col min="2" max="2" width="5.42578125" style="115" customWidth="1"/>
    <col min="3" max="4" width="9.140625" style="115" customWidth="1"/>
    <col min="5" max="5" width="0.85546875" style="115" customWidth="1"/>
    <col min="6" max="6" width="9.140625" style="115"/>
    <col min="7" max="7" width="0.85546875" style="115" customWidth="1"/>
    <col min="8" max="8" width="9.140625" style="115" customWidth="1"/>
    <col min="9" max="9" width="2" style="115" customWidth="1"/>
    <col min="10" max="10" width="0.85546875" style="115" customWidth="1"/>
    <col min="11" max="11" width="9.140625" style="115" customWidth="1"/>
    <col min="12" max="12" width="0.85546875" style="115" customWidth="1"/>
    <col min="13" max="13" width="9.140625" style="115"/>
    <col min="14" max="14" width="0.85546875" style="115" customWidth="1"/>
    <col min="15" max="15" width="9.140625" style="115"/>
    <col min="16" max="16" width="1" style="115" customWidth="1"/>
    <col min="17" max="17" width="0.140625" style="115" customWidth="1"/>
    <col min="18" max="18" width="9.140625" style="115"/>
    <col min="19" max="19" width="0.85546875" style="115" customWidth="1"/>
    <col min="20" max="20" width="5" style="115" customWidth="1"/>
    <col min="21" max="21" width="0.85546875" style="115" customWidth="1"/>
    <col min="22" max="22" width="10" style="115" bestFit="1" customWidth="1"/>
    <col min="23" max="23" width="0.85546875" style="115" customWidth="1"/>
    <col min="24" max="16384" width="9.140625" style="115"/>
  </cols>
  <sheetData>
    <row r="1" spans="1:23" ht="20.25" x14ac:dyDescent="0.3">
      <c r="A1" s="113"/>
      <c r="B1" s="430" t="s">
        <v>126</v>
      </c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114"/>
    </row>
    <row r="2" spans="1:23" ht="38.25" customHeight="1" x14ac:dyDescent="0.3">
      <c r="A2" s="116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8"/>
      <c r="S2" s="118"/>
      <c r="T2" s="118"/>
      <c r="U2" s="118"/>
      <c r="V2" s="118"/>
      <c r="W2" s="119"/>
    </row>
    <row r="3" spans="1:23" ht="16.5" x14ac:dyDescent="0.3">
      <c r="A3" s="116"/>
      <c r="B3" s="117"/>
      <c r="C3" s="38" t="s">
        <v>1015</v>
      </c>
      <c r="D3" s="431" t="str">
        <f>IF(PNP&lt;&gt;"",PNP,"")</f>
        <v/>
      </c>
      <c r="E3" s="432"/>
      <c r="F3" s="433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80"/>
      <c r="V3" s="80"/>
      <c r="W3" s="119"/>
    </row>
    <row r="4" spans="1:23" ht="3.95" customHeight="1" x14ac:dyDescent="0.3">
      <c r="A4" s="116"/>
      <c r="B4" s="118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119"/>
    </row>
    <row r="5" spans="1:23" ht="16.5" x14ac:dyDescent="0.3">
      <c r="A5" s="116"/>
      <c r="B5" s="118"/>
      <c r="C5" s="38" t="s">
        <v>103</v>
      </c>
      <c r="D5" s="420" t="str">
        <f>IF(pd_name&lt;&gt;"",pd_name,"")</f>
        <v/>
      </c>
      <c r="E5" s="421"/>
      <c r="F5" s="421"/>
      <c r="G5" s="421"/>
      <c r="H5" s="422"/>
      <c r="I5" s="18"/>
      <c r="J5" s="18"/>
      <c r="K5" s="38" t="s">
        <v>104</v>
      </c>
      <c r="L5" s="420" t="str">
        <f>IF(pd_surname&lt;&gt;"",pd_surname,"")</f>
        <v/>
      </c>
      <c r="M5" s="421"/>
      <c r="N5" s="421"/>
      <c r="O5" s="421"/>
      <c r="P5" s="421"/>
      <c r="Q5" s="421"/>
      <c r="R5" s="422"/>
      <c r="T5" s="220" t="s">
        <v>918</v>
      </c>
      <c r="U5" s="80"/>
      <c r="V5" s="221" t="str">
        <f>IF(pd_title&lt;&gt;"",pd_title,"")</f>
        <v/>
      </c>
      <c r="W5" s="119"/>
    </row>
    <row r="6" spans="1:23" ht="5.25" customHeight="1" thickBot="1" x14ac:dyDescent="0.35">
      <c r="A6" s="120"/>
      <c r="B6" s="121"/>
      <c r="C6" s="122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19"/>
    </row>
    <row r="7" spans="1:23" ht="3.95" customHeight="1" x14ac:dyDescent="0.3">
      <c r="A7" s="116"/>
      <c r="B7" s="118"/>
      <c r="C7" s="19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119"/>
    </row>
    <row r="8" spans="1:23" ht="3.95" customHeight="1" x14ac:dyDescent="0.3">
      <c r="A8" s="116"/>
      <c r="B8" s="118"/>
      <c r="C8" s="38"/>
      <c r="D8" s="20"/>
      <c r="E8" s="20"/>
      <c r="F8" s="20"/>
      <c r="G8" s="20"/>
      <c r="H8" s="20"/>
      <c r="I8" s="80"/>
      <c r="J8" s="80"/>
      <c r="K8" s="80"/>
      <c r="L8" s="80"/>
      <c r="M8" s="124"/>
      <c r="N8" s="20"/>
      <c r="O8" s="20"/>
      <c r="P8" s="20"/>
      <c r="Q8" s="20"/>
      <c r="R8" s="20"/>
      <c r="S8" s="20"/>
      <c r="T8" s="20"/>
      <c r="U8" s="80"/>
      <c r="V8" s="80"/>
      <c r="W8" s="119"/>
    </row>
    <row r="9" spans="1:23" ht="16.5" customHeight="1" x14ac:dyDescent="0.3">
      <c r="A9" s="116"/>
      <c r="B9" s="118"/>
      <c r="C9" s="38" t="s">
        <v>109</v>
      </c>
      <c r="D9" s="420" t="str">
        <f>IF(pr_Territory&lt;&gt;"",pr_Territory,IF(pd_terr&lt;&gt;"",pd_terr,""))</f>
        <v/>
      </c>
      <c r="E9" s="421"/>
      <c r="F9" s="421"/>
      <c r="G9" s="421"/>
      <c r="H9" s="422"/>
      <c r="M9" s="38" t="s">
        <v>106</v>
      </c>
      <c r="O9" s="420" t="str">
        <f>IF(pr_Location&lt;&gt;"",pr_Location,IF(pd_loc&lt;&gt;"",pd_loc,""))</f>
        <v/>
      </c>
      <c r="P9" s="421"/>
      <c r="Q9" s="421"/>
      <c r="R9" s="421"/>
      <c r="S9" s="422"/>
      <c r="W9" s="119"/>
    </row>
    <row r="10" spans="1:23" ht="9" customHeight="1" x14ac:dyDescent="0.3">
      <c r="A10" s="116"/>
      <c r="B10" s="118"/>
      <c r="C10" s="38"/>
      <c r="D10" s="20"/>
      <c r="E10" s="20"/>
      <c r="F10" s="20" t="s">
        <v>1119</v>
      </c>
      <c r="G10" s="20"/>
      <c r="H10" s="20"/>
      <c r="I10" s="80"/>
      <c r="J10" s="80"/>
      <c r="K10" s="80"/>
      <c r="L10" s="80"/>
      <c r="M10" s="112"/>
      <c r="N10" s="20"/>
      <c r="O10" s="20"/>
      <c r="P10" s="20"/>
      <c r="Q10" s="20"/>
      <c r="R10" s="20"/>
      <c r="S10" s="20"/>
      <c r="T10" s="20"/>
      <c r="U10" s="80"/>
      <c r="V10" s="80"/>
      <c r="W10" s="119"/>
    </row>
    <row r="11" spans="1:23" ht="16.5" customHeight="1" x14ac:dyDescent="0.3">
      <c r="A11" s="116"/>
      <c r="B11" s="118"/>
      <c r="C11" s="23" t="s">
        <v>107</v>
      </c>
      <c r="D11" s="420" t="str">
        <f>IF(pr_Hospital&lt;&gt;"",pr_Hospital,IF(pd_hospit&lt;&gt;"",pd_hospit,""))</f>
        <v/>
      </c>
      <c r="E11" s="421"/>
      <c r="F11" s="421"/>
      <c r="G11" s="421"/>
      <c r="H11" s="421"/>
      <c r="I11" s="421"/>
      <c r="J11" s="421"/>
      <c r="K11" s="421"/>
      <c r="L11" s="421"/>
      <c r="M11" s="422"/>
      <c r="O11" s="23" t="s">
        <v>108</v>
      </c>
      <c r="R11" s="420" t="str">
        <f>IF(pr_ward&lt;&gt;"",pr_ward,IF(pd_ward&lt;&gt;"",pd_ward,""))</f>
        <v/>
      </c>
      <c r="S11" s="421"/>
      <c r="T11" s="421"/>
      <c r="U11" s="421"/>
      <c r="V11" s="422"/>
      <c r="W11" s="119"/>
    </row>
    <row r="12" spans="1:23" ht="7.5" customHeight="1" thickBot="1" x14ac:dyDescent="0.35">
      <c r="A12" s="120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3"/>
    </row>
    <row r="13" spans="1:23" ht="5.0999999999999996" customHeight="1" x14ac:dyDescent="0.3">
      <c r="A13" s="125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7"/>
    </row>
    <row r="14" spans="1:23" x14ac:dyDescent="0.3">
      <c r="A14" s="125"/>
      <c r="B14" s="126"/>
      <c r="C14" s="128" t="s">
        <v>127</v>
      </c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7"/>
    </row>
    <row r="15" spans="1:23" ht="3.95" customHeight="1" x14ac:dyDescent="0.3">
      <c r="A15" s="125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7"/>
    </row>
    <row r="16" spans="1:23" ht="16.5" x14ac:dyDescent="0.3">
      <c r="A16" s="125"/>
      <c r="B16" s="126"/>
      <c r="C16" s="128" t="s">
        <v>455</v>
      </c>
      <c r="D16" s="414"/>
      <c r="E16" s="415"/>
      <c r="F16" s="416"/>
      <c r="G16" s="126"/>
      <c r="H16" s="126"/>
      <c r="I16" s="126"/>
      <c r="J16" s="126"/>
      <c r="K16" s="128" t="s">
        <v>129</v>
      </c>
      <c r="L16" s="126"/>
      <c r="M16" s="417"/>
      <c r="N16" s="418"/>
      <c r="O16" s="418"/>
      <c r="P16" s="418"/>
      <c r="Q16" s="418"/>
      <c r="R16" s="418"/>
      <c r="S16" s="418"/>
      <c r="T16" s="418"/>
      <c r="U16" s="418"/>
      <c r="V16" s="419"/>
      <c r="W16" s="127"/>
    </row>
    <row r="17" spans="1:25" ht="15.95" customHeight="1" x14ac:dyDescent="0.3">
      <c r="A17" s="125"/>
      <c r="B17" s="126"/>
      <c r="C17" s="128"/>
      <c r="D17" s="126"/>
      <c r="E17" s="126"/>
      <c r="F17" s="126"/>
      <c r="G17" s="126"/>
      <c r="H17" s="126"/>
      <c r="I17" s="126"/>
      <c r="J17" s="126"/>
      <c r="K17" s="128"/>
      <c r="L17" s="126"/>
      <c r="M17" s="424"/>
      <c r="N17" s="425"/>
      <c r="O17" s="425"/>
      <c r="P17" s="425"/>
      <c r="Q17" s="425"/>
      <c r="R17" s="425"/>
      <c r="S17" s="425"/>
      <c r="T17" s="425"/>
      <c r="U17" s="425"/>
      <c r="V17" s="426"/>
      <c r="W17" s="127"/>
    </row>
    <row r="18" spans="1:25" ht="16.5" x14ac:dyDescent="0.3">
      <c r="A18" s="125"/>
      <c r="B18" s="126"/>
      <c r="C18" s="128" t="s">
        <v>128</v>
      </c>
      <c r="D18" s="414"/>
      <c r="E18" s="415"/>
      <c r="F18" s="416"/>
      <c r="G18" s="126"/>
      <c r="H18" s="126"/>
      <c r="I18" s="126"/>
      <c r="J18" s="126"/>
      <c r="K18" s="128"/>
      <c r="L18" s="126"/>
      <c r="M18" s="424"/>
      <c r="N18" s="425"/>
      <c r="O18" s="425"/>
      <c r="P18" s="425"/>
      <c r="Q18" s="425"/>
      <c r="R18" s="425"/>
      <c r="S18" s="425"/>
      <c r="T18" s="425"/>
      <c r="U18" s="425"/>
      <c r="V18" s="426"/>
      <c r="W18" s="127"/>
    </row>
    <row r="19" spans="1:25" ht="15.75" customHeight="1" x14ac:dyDescent="0.3">
      <c r="A19" s="125"/>
      <c r="B19" s="126"/>
      <c r="C19" s="128"/>
      <c r="D19" s="128"/>
      <c r="E19" s="128"/>
      <c r="F19" s="128"/>
      <c r="G19" s="126"/>
      <c r="H19" s="126"/>
      <c r="I19" s="126"/>
      <c r="J19" s="126"/>
      <c r="K19" s="128"/>
      <c r="L19" s="126"/>
      <c r="M19" s="427"/>
      <c r="N19" s="428"/>
      <c r="O19" s="428"/>
      <c r="P19" s="428"/>
      <c r="Q19" s="428"/>
      <c r="R19" s="428"/>
      <c r="S19" s="428"/>
      <c r="T19" s="428"/>
      <c r="U19" s="428"/>
      <c r="V19" s="429"/>
      <c r="W19" s="127"/>
    </row>
    <row r="20" spans="1:25" ht="15.75" customHeight="1" x14ac:dyDescent="0.3">
      <c r="A20" s="405" t="s">
        <v>1121</v>
      </c>
      <c r="B20" s="406"/>
      <c r="C20" s="406"/>
      <c r="D20" s="407" t="s">
        <v>1119</v>
      </c>
      <c r="E20" s="408"/>
      <c r="F20" s="409"/>
      <c r="G20" s="126"/>
      <c r="H20" s="126"/>
      <c r="I20" s="126"/>
      <c r="J20" s="126"/>
      <c r="K20" s="128"/>
      <c r="L20" s="126"/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127"/>
    </row>
    <row r="21" spans="1:25" ht="14.25" customHeight="1" thickBot="1" x14ac:dyDescent="0.35">
      <c r="A21" s="129"/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423"/>
      <c r="N21" s="423"/>
      <c r="O21" s="423"/>
      <c r="P21" s="423"/>
      <c r="Q21" s="423"/>
      <c r="R21" s="423"/>
      <c r="S21" s="423"/>
      <c r="T21" s="423"/>
      <c r="U21" s="423"/>
      <c r="V21" s="423"/>
      <c r="W21" s="131"/>
    </row>
    <row r="22" spans="1:25" ht="4.5" customHeigh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7"/>
    </row>
    <row r="23" spans="1:25" ht="3.75" hidden="1" customHeight="1" x14ac:dyDescent="0.3">
      <c r="A23" s="125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7"/>
    </row>
    <row r="24" spans="1:25" x14ac:dyDescent="0.3">
      <c r="A24" s="125"/>
      <c r="B24" s="126"/>
      <c r="C24" s="128" t="s">
        <v>130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7"/>
    </row>
    <row r="25" spans="1:25" ht="3.95" customHeigh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7"/>
    </row>
    <row r="26" spans="1:25" x14ac:dyDescent="0.3">
      <c r="A26" s="125"/>
      <c r="B26" s="126"/>
      <c r="C26" s="132" t="s">
        <v>131</v>
      </c>
      <c r="D26" s="132"/>
      <c r="E26" s="126"/>
      <c r="F26" s="406" t="s">
        <v>132</v>
      </c>
      <c r="G26" s="406"/>
      <c r="H26" s="406"/>
      <c r="I26" s="406"/>
      <c r="J26" s="406"/>
      <c r="K26" s="406"/>
      <c r="L26" s="406"/>
      <c r="M26" s="406"/>
      <c r="N26" s="126"/>
      <c r="P26" s="126"/>
      <c r="Q26" s="126"/>
      <c r="R26" s="133" t="s">
        <v>133</v>
      </c>
      <c r="S26" s="126"/>
      <c r="T26" s="126"/>
      <c r="U26" s="126"/>
      <c r="V26" s="126"/>
      <c r="W26" s="127"/>
    </row>
    <row r="27" spans="1:25" ht="3.95" customHeigh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P27" s="126"/>
      <c r="Q27" s="126"/>
      <c r="R27" s="126"/>
      <c r="S27" s="126"/>
      <c r="T27" s="126"/>
      <c r="U27" s="126"/>
      <c r="V27" s="126"/>
      <c r="W27" s="127"/>
    </row>
    <row r="28" spans="1:25" x14ac:dyDescent="0.3">
      <c r="A28" s="125"/>
      <c r="B28" s="410" t="str">
        <f>IF(ISERROR(VLOOKUP(F28,Stocklist!A:B,2,0)),"",VLOOKUP(F28,Stocklist!A:B,2,0))</f>
        <v/>
      </c>
      <c r="C28" s="411"/>
      <c r="D28" s="412"/>
      <c r="E28" s="212"/>
      <c r="F28" s="413" t="s">
        <v>1119</v>
      </c>
      <c r="G28" s="413"/>
      <c r="H28" s="413"/>
      <c r="I28" s="413"/>
      <c r="J28" s="413"/>
      <c r="K28" s="413"/>
      <c r="L28" s="413"/>
      <c r="M28" s="413"/>
      <c r="N28" s="413"/>
      <c r="O28" s="413"/>
      <c r="P28" s="413"/>
      <c r="Q28" s="212"/>
      <c r="R28" s="213"/>
      <c r="S28" s="212"/>
      <c r="T28" s="212"/>
      <c r="U28" s="212"/>
      <c r="V28" s="212"/>
      <c r="W28" s="214"/>
      <c r="X28" s="215"/>
      <c r="Y28" s="215"/>
    </row>
    <row r="29" spans="1:25" ht="3.95" customHeight="1" x14ac:dyDescent="0.3">
      <c r="A29" s="125"/>
      <c r="B29" s="216"/>
      <c r="C29" s="216"/>
      <c r="D29" s="216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5"/>
      <c r="P29" s="212"/>
      <c r="Q29" s="212"/>
      <c r="R29" s="217"/>
      <c r="S29" s="212"/>
      <c r="T29" s="212"/>
      <c r="U29" s="212"/>
      <c r="V29" s="212"/>
      <c r="W29" s="214"/>
      <c r="X29" s="215"/>
      <c r="Y29" s="215"/>
    </row>
    <row r="30" spans="1:25" x14ac:dyDescent="0.3">
      <c r="A30" s="125"/>
      <c r="B30" s="410" t="str">
        <f>IF(ISERROR(VLOOKUP(F30,Stocklist!A:B,2,0)),"",VLOOKUP(F30,Stocklist!A:B,2,0))</f>
        <v/>
      </c>
      <c r="C30" s="411"/>
      <c r="D30" s="412"/>
      <c r="E30" s="212"/>
      <c r="F30" s="413" t="s">
        <v>1119</v>
      </c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212"/>
      <c r="R30" s="213"/>
      <c r="S30" s="212"/>
      <c r="T30" s="212"/>
      <c r="U30" s="212"/>
      <c r="V30" s="212"/>
      <c r="W30" s="214"/>
      <c r="X30" s="215"/>
      <c r="Y30" s="215"/>
    </row>
    <row r="31" spans="1:25" ht="3.95" customHeight="1" x14ac:dyDescent="0.3">
      <c r="A31" s="125"/>
      <c r="B31" s="216"/>
      <c r="C31" s="216"/>
      <c r="D31" s="216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5"/>
      <c r="P31" s="212"/>
      <c r="Q31" s="212"/>
      <c r="R31" s="217"/>
      <c r="S31" s="212"/>
      <c r="T31" s="212"/>
      <c r="U31" s="212"/>
      <c r="V31" s="212"/>
      <c r="W31" s="214"/>
      <c r="X31" s="215"/>
      <c r="Y31" s="215"/>
    </row>
    <row r="32" spans="1:25" x14ac:dyDescent="0.3">
      <c r="A32" s="125"/>
      <c r="B32" s="410" t="str">
        <f>IF(ISERROR(VLOOKUP(F32,Stocklist!A:B,2,0)),"",VLOOKUP(F32,Stocklist!A:B,2,0))</f>
        <v/>
      </c>
      <c r="C32" s="411"/>
      <c r="D32" s="412"/>
      <c r="E32" s="212"/>
      <c r="F32" s="413" t="s">
        <v>1119</v>
      </c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212"/>
      <c r="R32" s="213"/>
      <c r="S32" s="212"/>
      <c r="T32" s="212"/>
      <c r="U32" s="212"/>
      <c r="V32" s="212"/>
      <c r="W32" s="214"/>
      <c r="X32" s="215"/>
      <c r="Y32" s="215"/>
    </row>
    <row r="33" spans="1:25" ht="3.95" customHeight="1" x14ac:dyDescent="0.3">
      <c r="A33" s="125"/>
      <c r="B33" s="216"/>
      <c r="C33" s="216"/>
      <c r="D33" s="216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5"/>
      <c r="P33" s="212"/>
      <c r="Q33" s="212"/>
      <c r="R33" s="217"/>
      <c r="S33" s="212"/>
      <c r="T33" s="212"/>
      <c r="U33" s="212"/>
      <c r="V33" s="212"/>
      <c r="W33" s="214"/>
      <c r="X33" s="215"/>
      <c r="Y33" s="215"/>
    </row>
    <row r="34" spans="1:25" x14ac:dyDescent="0.3">
      <c r="A34" s="125"/>
      <c r="B34" s="410" t="str">
        <f>IF(ISERROR(VLOOKUP(F34,Stocklist!A:B,2,0)),"",VLOOKUP(F34,Stocklist!A:B,2,0))</f>
        <v/>
      </c>
      <c r="C34" s="411"/>
      <c r="D34" s="412"/>
      <c r="E34" s="212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212"/>
      <c r="R34" s="213"/>
      <c r="S34" s="212"/>
      <c r="T34" s="212"/>
      <c r="U34" s="212"/>
      <c r="V34" s="212"/>
      <c r="W34" s="214"/>
      <c r="X34" s="215"/>
      <c r="Y34" s="215"/>
    </row>
    <row r="35" spans="1:25" ht="3.95" customHeight="1" x14ac:dyDescent="0.3">
      <c r="A35" s="125"/>
      <c r="B35" s="216"/>
      <c r="C35" s="216"/>
      <c r="D35" s="216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5"/>
      <c r="P35" s="212"/>
      <c r="Q35" s="212"/>
      <c r="R35" s="217"/>
      <c r="S35" s="212"/>
      <c r="T35" s="212"/>
      <c r="U35" s="212"/>
      <c r="V35" s="212"/>
      <c r="W35" s="214"/>
      <c r="X35" s="215"/>
      <c r="Y35" s="215"/>
    </row>
    <row r="36" spans="1:25" x14ac:dyDescent="0.3">
      <c r="A36" s="125"/>
      <c r="B36" s="410" t="str">
        <f>IF(ISERROR(VLOOKUP(F36,Stocklist!A:B,2,0)),"",VLOOKUP(F36,Stocklist!A:B,2,0))</f>
        <v/>
      </c>
      <c r="C36" s="411"/>
      <c r="D36" s="412"/>
      <c r="E36" s="212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212"/>
      <c r="R36" s="213"/>
      <c r="S36" s="212"/>
      <c r="T36" s="212"/>
      <c r="U36" s="212"/>
      <c r="V36" s="212"/>
      <c r="W36" s="214"/>
      <c r="X36" s="215"/>
      <c r="Y36" s="215"/>
    </row>
    <row r="37" spans="1:25" ht="3.95" customHeight="1" x14ac:dyDescent="0.3">
      <c r="A37" s="125"/>
      <c r="B37" s="216"/>
      <c r="C37" s="216"/>
      <c r="D37" s="216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5"/>
      <c r="P37" s="212"/>
      <c r="Q37" s="212"/>
      <c r="R37" s="217"/>
      <c r="S37" s="212"/>
      <c r="T37" s="212"/>
      <c r="U37" s="212"/>
      <c r="V37" s="212"/>
      <c r="W37" s="214"/>
      <c r="X37" s="215"/>
      <c r="Y37" s="215"/>
    </row>
    <row r="38" spans="1:25" x14ac:dyDescent="0.3">
      <c r="A38" s="125"/>
      <c r="B38" s="410" t="str">
        <f>IF(ISERROR(VLOOKUP(F38,Stocklist!A:B,2,0)),"",VLOOKUP(F38,Stocklist!A:B,2,0))</f>
        <v/>
      </c>
      <c r="C38" s="411"/>
      <c r="D38" s="412"/>
      <c r="E38" s="212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212"/>
      <c r="R38" s="213"/>
      <c r="S38" s="212"/>
      <c r="T38" s="212"/>
      <c r="U38" s="212"/>
      <c r="V38" s="212"/>
      <c r="W38" s="214"/>
      <c r="X38" s="215"/>
      <c r="Y38" s="215"/>
    </row>
    <row r="39" spans="1:25" ht="3.95" customHeight="1" x14ac:dyDescent="0.3">
      <c r="A39" s="125"/>
      <c r="B39" s="216"/>
      <c r="C39" s="216"/>
      <c r="D39" s="216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5"/>
      <c r="P39" s="212"/>
      <c r="Q39" s="212"/>
      <c r="R39" s="217"/>
      <c r="S39" s="212"/>
      <c r="T39" s="212"/>
      <c r="U39" s="212"/>
      <c r="V39" s="212"/>
      <c r="W39" s="214"/>
      <c r="X39" s="215"/>
      <c r="Y39" s="215"/>
    </row>
    <row r="40" spans="1:25" x14ac:dyDescent="0.3">
      <c r="A40" s="125"/>
      <c r="B40" s="410" t="str">
        <f>IF(ISERROR(VLOOKUP(F40,Stocklist!A:B,2,0)),"",VLOOKUP(F40,Stocklist!A:B,2,0))</f>
        <v/>
      </c>
      <c r="C40" s="411"/>
      <c r="D40" s="412"/>
      <c r="E40" s="212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212"/>
      <c r="R40" s="213"/>
      <c r="S40" s="212"/>
      <c r="T40" s="212"/>
      <c r="U40" s="212"/>
      <c r="V40" s="212"/>
      <c r="W40" s="214"/>
      <c r="X40" s="215"/>
      <c r="Y40" s="215"/>
    </row>
    <row r="41" spans="1:25" ht="3.95" customHeight="1" x14ac:dyDescent="0.3">
      <c r="A41" s="125"/>
      <c r="B41" s="216"/>
      <c r="C41" s="216"/>
      <c r="D41" s="216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5"/>
      <c r="P41" s="212"/>
      <c r="Q41" s="212"/>
      <c r="R41" s="218"/>
      <c r="S41" s="212"/>
      <c r="T41" s="212"/>
      <c r="U41" s="212"/>
      <c r="V41" s="212"/>
      <c r="W41" s="214"/>
      <c r="X41" s="215"/>
      <c r="Y41" s="215"/>
    </row>
    <row r="42" spans="1:25" x14ac:dyDescent="0.3">
      <c r="A42" s="125"/>
      <c r="B42" s="410" t="str">
        <f>IF(ISERROR(VLOOKUP(F42,Stocklist!A:B,2,0)),"",VLOOKUP(F42,Stocklist!A:B,2,0))</f>
        <v/>
      </c>
      <c r="C42" s="411"/>
      <c r="D42" s="412"/>
      <c r="E42" s="212"/>
      <c r="F42" s="413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212"/>
      <c r="R42" s="213"/>
      <c r="S42" s="212"/>
      <c r="T42" s="212"/>
      <c r="U42" s="212"/>
      <c r="V42" s="212"/>
      <c r="W42" s="214"/>
      <c r="X42" s="215"/>
      <c r="Y42" s="215"/>
    </row>
    <row r="43" spans="1:25" ht="3.95" customHeight="1" x14ac:dyDescent="0.3">
      <c r="A43" s="125"/>
      <c r="B43" s="216"/>
      <c r="C43" s="216"/>
      <c r="D43" s="216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5"/>
      <c r="P43" s="212"/>
      <c r="Q43" s="212"/>
      <c r="R43" s="217"/>
      <c r="S43" s="212"/>
      <c r="T43" s="212"/>
      <c r="U43" s="212"/>
      <c r="V43" s="212"/>
      <c r="W43" s="214"/>
      <c r="X43" s="215"/>
      <c r="Y43" s="215"/>
    </row>
    <row r="44" spans="1:25" x14ac:dyDescent="0.3">
      <c r="A44" s="125"/>
      <c r="B44" s="410" t="str">
        <f>IF(ISERROR(VLOOKUP(F44,Stocklist!A:B,2,0)),"",VLOOKUP(F44,Stocklist!A:B,2,0))</f>
        <v/>
      </c>
      <c r="C44" s="411"/>
      <c r="D44" s="412"/>
      <c r="E44" s="212"/>
      <c r="F44" s="413"/>
      <c r="G44" s="413"/>
      <c r="H44" s="413"/>
      <c r="I44" s="413"/>
      <c r="J44" s="413"/>
      <c r="K44" s="413"/>
      <c r="L44" s="413"/>
      <c r="M44" s="413"/>
      <c r="N44" s="413"/>
      <c r="O44" s="413"/>
      <c r="P44" s="413"/>
      <c r="Q44" s="212"/>
      <c r="R44" s="213"/>
      <c r="S44" s="212"/>
      <c r="T44" s="212"/>
      <c r="U44" s="212"/>
      <c r="V44" s="212"/>
      <c r="W44" s="214"/>
      <c r="X44" s="215"/>
      <c r="Y44" s="215"/>
    </row>
    <row r="45" spans="1:25" ht="3.95" customHeight="1" x14ac:dyDescent="0.3">
      <c r="A45" s="125"/>
      <c r="B45" s="216"/>
      <c r="C45" s="216"/>
      <c r="D45" s="216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5"/>
      <c r="P45" s="212"/>
      <c r="Q45" s="212"/>
      <c r="R45" s="217">
        <v>1</v>
      </c>
      <c r="S45" s="212"/>
      <c r="T45" s="212"/>
      <c r="U45" s="212"/>
      <c r="V45" s="212"/>
      <c r="W45" s="214"/>
      <c r="X45" s="215"/>
      <c r="Y45" s="215"/>
    </row>
    <row r="46" spans="1:25" x14ac:dyDescent="0.3">
      <c r="A46" s="125"/>
      <c r="B46" s="410" t="str">
        <f>IF(ISERROR(VLOOKUP(F46,Stocklist!A:B,2,0)),"",VLOOKUP(F46,Stocklist!A:B,2,0))</f>
        <v/>
      </c>
      <c r="C46" s="411"/>
      <c r="D46" s="412"/>
      <c r="E46" s="212"/>
      <c r="F46" s="413"/>
      <c r="G46" s="413"/>
      <c r="H46" s="413"/>
      <c r="I46" s="413"/>
      <c r="J46" s="413"/>
      <c r="K46" s="413"/>
      <c r="L46" s="413"/>
      <c r="M46" s="413"/>
      <c r="N46" s="413"/>
      <c r="O46" s="413"/>
      <c r="P46" s="413"/>
      <c r="Q46" s="212"/>
      <c r="R46" s="213"/>
      <c r="S46" s="212"/>
      <c r="T46" s="212"/>
      <c r="U46" s="212"/>
      <c r="V46" s="212"/>
      <c r="W46" s="214"/>
      <c r="X46" s="215"/>
      <c r="Y46" s="215"/>
    </row>
    <row r="47" spans="1:25" ht="3.95" customHeight="1" x14ac:dyDescent="0.3">
      <c r="A47" s="125"/>
      <c r="B47" s="216"/>
      <c r="C47" s="216"/>
      <c r="D47" s="216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5"/>
      <c r="P47" s="212"/>
      <c r="Q47" s="212"/>
      <c r="R47" s="217"/>
      <c r="S47" s="212"/>
      <c r="T47" s="212"/>
      <c r="U47" s="212"/>
      <c r="V47" s="212"/>
      <c r="W47" s="214"/>
      <c r="X47" s="215"/>
      <c r="Y47" s="215"/>
    </row>
    <row r="48" spans="1:25" x14ac:dyDescent="0.3">
      <c r="A48" s="125"/>
      <c r="B48" s="410" t="str">
        <f>IF(ISERROR(VLOOKUP(F48,Stocklist!A:B,2,0)),"",VLOOKUP(F48,Stocklist!A:B,2,0))</f>
        <v/>
      </c>
      <c r="C48" s="411"/>
      <c r="D48" s="412"/>
      <c r="E48" s="212"/>
      <c r="F48" s="413"/>
      <c r="G48" s="413"/>
      <c r="H48" s="413"/>
      <c r="I48" s="413"/>
      <c r="J48" s="413"/>
      <c r="K48" s="413"/>
      <c r="L48" s="413"/>
      <c r="M48" s="413"/>
      <c r="N48" s="413"/>
      <c r="O48" s="413"/>
      <c r="P48" s="413"/>
      <c r="Q48" s="212"/>
      <c r="R48" s="213"/>
      <c r="S48" s="212"/>
      <c r="T48" s="212"/>
      <c r="U48" s="212"/>
      <c r="V48" s="212"/>
      <c r="W48" s="214"/>
      <c r="X48" s="215"/>
      <c r="Y48" s="215"/>
    </row>
    <row r="49" spans="1:25" ht="3.95" customHeight="1" x14ac:dyDescent="0.3">
      <c r="A49" s="125"/>
      <c r="B49" s="216"/>
      <c r="C49" s="216"/>
      <c r="D49" s="216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5"/>
      <c r="P49" s="212"/>
      <c r="Q49" s="212"/>
      <c r="R49" s="217"/>
      <c r="S49" s="212"/>
      <c r="T49" s="212"/>
      <c r="U49" s="212"/>
      <c r="V49" s="212"/>
      <c r="W49" s="214"/>
      <c r="X49" s="215"/>
      <c r="Y49" s="215"/>
    </row>
    <row r="50" spans="1:25" x14ac:dyDescent="0.3">
      <c r="A50" s="125"/>
      <c r="B50" s="410" t="str">
        <f>IF(ISERROR(VLOOKUP(F50,Stocklist!A:B,2,0)),"",VLOOKUP(F50,Stocklist!A:B,2,0))</f>
        <v/>
      </c>
      <c r="C50" s="411"/>
      <c r="D50" s="412"/>
      <c r="E50" s="212"/>
      <c r="F50" s="413"/>
      <c r="G50" s="413"/>
      <c r="H50" s="413"/>
      <c r="I50" s="413"/>
      <c r="J50" s="413"/>
      <c r="K50" s="413"/>
      <c r="L50" s="413"/>
      <c r="M50" s="413"/>
      <c r="N50" s="413"/>
      <c r="O50" s="413"/>
      <c r="P50" s="413"/>
      <c r="Q50" s="212"/>
      <c r="R50" s="213"/>
      <c r="S50" s="212"/>
      <c r="T50" s="212"/>
      <c r="U50" s="212"/>
      <c r="V50" s="212"/>
      <c r="W50" s="214"/>
      <c r="X50" s="215"/>
      <c r="Y50" s="215"/>
    </row>
    <row r="51" spans="1:25" ht="3.95" customHeight="1" x14ac:dyDescent="0.3">
      <c r="A51" s="125"/>
      <c r="B51" s="216"/>
      <c r="C51" s="216"/>
      <c r="D51" s="216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5"/>
      <c r="P51" s="212"/>
      <c r="Q51" s="212"/>
      <c r="R51" s="212"/>
      <c r="S51" s="212"/>
      <c r="T51" s="212"/>
      <c r="U51" s="212"/>
      <c r="V51" s="212"/>
      <c r="W51" s="214"/>
      <c r="X51" s="215"/>
      <c r="Y51" s="215"/>
    </row>
    <row r="52" spans="1:25" x14ac:dyDescent="0.3">
      <c r="A52" s="125"/>
      <c r="B52" s="410" t="str">
        <f>IF(ISERROR(VLOOKUP(F52,Stocklist!A:B,2,0)),"",VLOOKUP(F52,Stocklist!A:B,2,0))</f>
        <v/>
      </c>
      <c r="C52" s="411"/>
      <c r="D52" s="412"/>
      <c r="E52" s="212"/>
      <c r="F52" s="413"/>
      <c r="G52" s="413"/>
      <c r="H52" s="413"/>
      <c r="I52" s="413"/>
      <c r="J52" s="413"/>
      <c r="K52" s="413"/>
      <c r="L52" s="413"/>
      <c r="M52" s="413"/>
      <c r="N52" s="413"/>
      <c r="O52" s="413"/>
      <c r="P52" s="413"/>
      <c r="Q52" s="212"/>
      <c r="R52" s="213"/>
      <c r="S52" s="212"/>
      <c r="T52" s="212"/>
      <c r="U52" s="212"/>
      <c r="V52" s="212"/>
      <c r="W52" s="214"/>
      <c r="X52" s="215"/>
      <c r="Y52" s="215"/>
    </row>
    <row r="53" spans="1:25" ht="3.95" customHeight="1" x14ac:dyDescent="0.3">
      <c r="A53" s="125"/>
      <c r="B53" s="216"/>
      <c r="C53" s="216"/>
      <c r="D53" s="216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5"/>
      <c r="P53" s="212"/>
      <c r="Q53" s="212"/>
      <c r="R53" s="217"/>
      <c r="S53" s="212"/>
      <c r="T53" s="212"/>
      <c r="U53" s="212"/>
      <c r="V53" s="212"/>
      <c r="W53" s="214"/>
      <c r="X53" s="215"/>
      <c r="Y53" s="215"/>
    </row>
    <row r="54" spans="1:25" x14ac:dyDescent="0.3">
      <c r="A54" s="125"/>
      <c r="B54" s="410" t="str">
        <f>IF(ISERROR(VLOOKUP(F54,Stocklist!A:B,2,0)),"",VLOOKUP(F54,Stocklist!A:B,2,0))</f>
        <v/>
      </c>
      <c r="C54" s="411"/>
      <c r="D54" s="412"/>
      <c r="E54" s="212"/>
      <c r="F54" s="413"/>
      <c r="G54" s="413"/>
      <c r="H54" s="413"/>
      <c r="I54" s="413"/>
      <c r="J54" s="413"/>
      <c r="K54" s="413"/>
      <c r="L54" s="413"/>
      <c r="M54" s="413"/>
      <c r="N54" s="413"/>
      <c r="O54" s="413"/>
      <c r="P54" s="413"/>
      <c r="Q54" s="212"/>
      <c r="R54" s="213"/>
      <c r="S54" s="212"/>
      <c r="T54" s="212"/>
      <c r="U54" s="212"/>
      <c r="V54" s="212"/>
      <c r="W54" s="214"/>
      <c r="X54" s="215"/>
      <c r="Y54" s="215"/>
    </row>
    <row r="55" spans="1:25" ht="9" customHeight="1" thickBot="1" x14ac:dyDescent="0.35">
      <c r="A55" s="129"/>
      <c r="B55" s="130"/>
      <c r="C55" s="130"/>
      <c r="D55" s="130"/>
      <c r="E55" s="130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130"/>
      <c r="R55" s="130"/>
      <c r="S55" s="130"/>
      <c r="T55" s="130"/>
      <c r="U55" s="130"/>
      <c r="V55" s="130"/>
      <c r="W55" s="131"/>
    </row>
    <row r="207" spans="4:4" x14ac:dyDescent="0.3">
      <c r="D207" s="134" t="s">
        <v>101</v>
      </c>
    </row>
  </sheetData>
  <sheetProtection algorithmName="SHA-512" hashValue="vOxjLDJBXS9sOfUHyrAA0ZjdyIxkSp+uTCboGPvt6YCwoHW5xh4t2i/3EoPwQokshTrNwfeSxviLEDq4utpfTA==" saltValue="nkxdYB2DB9Dld7uPtifqbg==" spinCount="100000" sheet="1" selectLockedCells="1"/>
  <mergeCells count="46">
    <mergeCell ref="B1:V1"/>
    <mergeCell ref="D5:H5"/>
    <mergeCell ref="L5:R5"/>
    <mergeCell ref="D9:H9"/>
    <mergeCell ref="D3:F3"/>
    <mergeCell ref="D16:F16"/>
    <mergeCell ref="M16:V16"/>
    <mergeCell ref="F26:M26"/>
    <mergeCell ref="D11:M11"/>
    <mergeCell ref="O9:S9"/>
    <mergeCell ref="R11:V11"/>
    <mergeCell ref="M21:V21"/>
    <mergeCell ref="D18:F18"/>
    <mergeCell ref="M17:V17"/>
    <mergeCell ref="M18:V18"/>
    <mergeCell ref="M19:V19"/>
    <mergeCell ref="B28:D28"/>
    <mergeCell ref="F28:P28"/>
    <mergeCell ref="B30:D30"/>
    <mergeCell ref="F30:P30"/>
    <mergeCell ref="B32:D32"/>
    <mergeCell ref="F32:P32"/>
    <mergeCell ref="B44:D44"/>
    <mergeCell ref="F44:P44"/>
    <mergeCell ref="B34:D34"/>
    <mergeCell ref="F34:P34"/>
    <mergeCell ref="B36:D36"/>
    <mergeCell ref="F36:P36"/>
    <mergeCell ref="B38:D38"/>
    <mergeCell ref="F38:P38"/>
    <mergeCell ref="A20:C20"/>
    <mergeCell ref="D20:F20"/>
    <mergeCell ref="B46:D46"/>
    <mergeCell ref="F46:P46"/>
    <mergeCell ref="B54:D54"/>
    <mergeCell ref="F54:P54"/>
    <mergeCell ref="B48:D48"/>
    <mergeCell ref="F48:P48"/>
    <mergeCell ref="B50:D50"/>
    <mergeCell ref="F50:P50"/>
    <mergeCell ref="B52:D52"/>
    <mergeCell ref="F52:P52"/>
    <mergeCell ref="B40:D40"/>
    <mergeCell ref="F40:P40"/>
    <mergeCell ref="B42:D42"/>
    <mergeCell ref="F42:P42"/>
  </mergeCells>
  <dataValidations count="3">
    <dataValidation type="date" operator="greaterThan" allowBlank="1" showInputMessage="1" showErrorMessage="1" errorTitle="Date Format Error" error="Please use the Date Picker to set the date. _x000a_Format MUST be yyyy-mm-dd  like 2016-04-25_x000a_" sqref="D18:F18" xr:uid="{00000000-0002-0000-0300-000000000000}">
      <formula1>36526</formula1>
    </dataValidation>
    <dataValidation type="whole" operator="greaterThanOrEqual" allowBlank="1" showInputMessage="1" showErrorMessage="1" errorTitle="Invalid entry" error="You can only enter numbers in this field." sqref="R28" xr:uid="{00000000-0002-0000-0300-000001000000}">
      <formula1>0</formula1>
    </dataValidation>
    <dataValidation type="whole" operator="greaterThanOrEqual" allowBlank="1" showInputMessage="1" showErrorMessage="1" errorTitle="Invalid Entry" error="You can only enter numbers in this field" sqref="R30 R32 R34 R36 R38 R40 R42 R44 R46 R48 R50 R52 R54" xr:uid="{00000000-0002-0000-0300-000002000000}">
      <formula1>0</formula1>
    </dataValidation>
  </dataValidations>
  <pageMargins left="0.7" right="0.7" top="0.75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8194" r:id="rId4" name="ComboBox1">
          <controlPr defaultSize="0" autoLine="0" linkedCell="F28" listFillRange="Stocklist" r:id="rId5">
            <anchor moveWithCells="1">
              <from>
                <xdr:col>5</xdr:col>
                <xdr:colOff>19050</xdr:colOff>
                <xdr:row>27</xdr:row>
                <xdr:rowOff>0</xdr:rowOff>
              </from>
              <to>
                <xdr:col>15</xdr:col>
                <xdr:colOff>28575</xdr:colOff>
                <xdr:row>28</xdr:row>
                <xdr:rowOff>9525</xdr:rowOff>
              </to>
            </anchor>
          </controlPr>
        </control>
      </mc:Choice>
      <mc:Fallback>
        <control shapeId="8194" r:id="rId4" name="ComboBox1"/>
      </mc:Fallback>
    </mc:AlternateContent>
    <mc:AlternateContent xmlns:mc="http://schemas.openxmlformats.org/markup-compatibility/2006">
      <mc:Choice Requires="x14">
        <control shapeId="8196" r:id="rId6" name="ComboBox2">
          <controlPr defaultSize="0" autoLine="0" linkedCell="F54" listFillRange="Stocklist" r:id="rId7">
            <anchor moveWithCells="1">
              <from>
                <xdr:col>5</xdr:col>
                <xdr:colOff>9525</xdr:colOff>
                <xdr:row>53</xdr:row>
                <xdr:rowOff>0</xdr:rowOff>
              </from>
              <to>
                <xdr:col>15</xdr:col>
                <xdr:colOff>38100</xdr:colOff>
                <xdr:row>54</xdr:row>
                <xdr:rowOff>9525</xdr:rowOff>
              </to>
            </anchor>
          </controlPr>
        </control>
      </mc:Choice>
      <mc:Fallback>
        <control shapeId="8196" r:id="rId6" name="ComboBox2"/>
      </mc:Fallback>
    </mc:AlternateContent>
    <mc:AlternateContent xmlns:mc="http://schemas.openxmlformats.org/markup-compatibility/2006">
      <mc:Choice Requires="x14">
        <control shapeId="8201" r:id="rId8" name="ComboBox7">
          <controlPr defaultSize="0" autoLine="0" linkedCell="F52" listFillRange="Stocklist" r:id="rId9">
            <anchor moveWithCells="1">
              <from>
                <xdr:col>5</xdr:col>
                <xdr:colOff>9525</xdr:colOff>
                <xdr:row>51</xdr:row>
                <xdr:rowOff>0</xdr:rowOff>
              </from>
              <to>
                <xdr:col>15</xdr:col>
                <xdr:colOff>28575</xdr:colOff>
                <xdr:row>52</xdr:row>
                <xdr:rowOff>9525</xdr:rowOff>
              </to>
            </anchor>
          </controlPr>
        </control>
      </mc:Choice>
      <mc:Fallback>
        <control shapeId="8201" r:id="rId8" name="ComboBox7"/>
      </mc:Fallback>
    </mc:AlternateContent>
    <mc:AlternateContent xmlns:mc="http://schemas.openxmlformats.org/markup-compatibility/2006">
      <mc:Choice Requires="x14">
        <control shapeId="8202" r:id="rId10" name="ComboBox8">
          <controlPr defaultSize="0" autoLine="0" linkedCell="F50" listFillRange="Stocklist" r:id="rId9">
            <anchor moveWithCells="1">
              <from>
                <xdr:col>5</xdr:col>
                <xdr:colOff>9525</xdr:colOff>
                <xdr:row>49</xdr:row>
                <xdr:rowOff>0</xdr:rowOff>
              </from>
              <to>
                <xdr:col>15</xdr:col>
                <xdr:colOff>28575</xdr:colOff>
                <xdr:row>50</xdr:row>
                <xdr:rowOff>9525</xdr:rowOff>
              </to>
            </anchor>
          </controlPr>
        </control>
      </mc:Choice>
      <mc:Fallback>
        <control shapeId="8202" r:id="rId10" name="ComboBox8"/>
      </mc:Fallback>
    </mc:AlternateContent>
    <mc:AlternateContent xmlns:mc="http://schemas.openxmlformats.org/markup-compatibility/2006">
      <mc:Choice Requires="x14">
        <control shapeId="8203" r:id="rId11" name="ComboBox9">
          <controlPr defaultSize="0" autoLine="0" linkedCell="F48" listFillRange="Stocklist" r:id="rId9">
            <anchor moveWithCells="1">
              <from>
                <xdr:col>5</xdr:col>
                <xdr:colOff>9525</xdr:colOff>
                <xdr:row>47</xdr:row>
                <xdr:rowOff>0</xdr:rowOff>
              </from>
              <to>
                <xdr:col>15</xdr:col>
                <xdr:colOff>28575</xdr:colOff>
                <xdr:row>48</xdr:row>
                <xdr:rowOff>9525</xdr:rowOff>
              </to>
            </anchor>
          </controlPr>
        </control>
      </mc:Choice>
      <mc:Fallback>
        <control shapeId="8203" r:id="rId11" name="ComboBox9"/>
      </mc:Fallback>
    </mc:AlternateContent>
    <mc:AlternateContent xmlns:mc="http://schemas.openxmlformats.org/markup-compatibility/2006">
      <mc:Choice Requires="x14">
        <control shapeId="8204" r:id="rId12" name="ComboBox10">
          <controlPr defaultSize="0" autoLine="0" linkedCell="F46" listFillRange="Stocklist" r:id="rId9">
            <anchor moveWithCells="1">
              <from>
                <xdr:col>5</xdr:col>
                <xdr:colOff>9525</xdr:colOff>
                <xdr:row>45</xdr:row>
                <xdr:rowOff>0</xdr:rowOff>
              </from>
              <to>
                <xdr:col>15</xdr:col>
                <xdr:colOff>28575</xdr:colOff>
                <xdr:row>46</xdr:row>
                <xdr:rowOff>9525</xdr:rowOff>
              </to>
            </anchor>
          </controlPr>
        </control>
      </mc:Choice>
      <mc:Fallback>
        <control shapeId="8204" r:id="rId12" name="ComboBox10"/>
      </mc:Fallback>
    </mc:AlternateContent>
    <mc:AlternateContent xmlns:mc="http://schemas.openxmlformats.org/markup-compatibility/2006">
      <mc:Choice Requires="x14">
        <control shapeId="8205" r:id="rId13" name="ComboBox11">
          <controlPr defaultSize="0" autoLine="0" linkedCell="F44" listFillRange="Stocklist" r:id="rId7">
            <anchor moveWithCells="1">
              <from>
                <xdr:col>5</xdr:col>
                <xdr:colOff>9525</xdr:colOff>
                <xdr:row>43</xdr:row>
                <xdr:rowOff>0</xdr:rowOff>
              </from>
              <to>
                <xdr:col>15</xdr:col>
                <xdr:colOff>38100</xdr:colOff>
                <xdr:row>44</xdr:row>
                <xdr:rowOff>9525</xdr:rowOff>
              </to>
            </anchor>
          </controlPr>
        </control>
      </mc:Choice>
      <mc:Fallback>
        <control shapeId="8205" r:id="rId13" name="ComboBox11"/>
      </mc:Fallback>
    </mc:AlternateContent>
    <mc:AlternateContent xmlns:mc="http://schemas.openxmlformats.org/markup-compatibility/2006">
      <mc:Choice Requires="x14">
        <control shapeId="8206" r:id="rId14" name="ComboBox12">
          <controlPr defaultSize="0" autoLine="0" linkedCell="F42" listFillRange="Stocklist" r:id="rId9">
            <anchor moveWithCells="1">
              <from>
                <xdr:col>5</xdr:col>
                <xdr:colOff>9525</xdr:colOff>
                <xdr:row>41</xdr:row>
                <xdr:rowOff>0</xdr:rowOff>
              </from>
              <to>
                <xdr:col>15</xdr:col>
                <xdr:colOff>28575</xdr:colOff>
                <xdr:row>42</xdr:row>
                <xdr:rowOff>9525</xdr:rowOff>
              </to>
            </anchor>
          </controlPr>
        </control>
      </mc:Choice>
      <mc:Fallback>
        <control shapeId="8206" r:id="rId14" name="ComboBox12"/>
      </mc:Fallback>
    </mc:AlternateContent>
    <mc:AlternateContent xmlns:mc="http://schemas.openxmlformats.org/markup-compatibility/2006">
      <mc:Choice Requires="x14">
        <control shapeId="8207" r:id="rId15" name="ComboBox13">
          <controlPr defaultSize="0" autoLine="0" linkedCell="F40" listFillRange="Stocklist" r:id="rId9">
            <anchor moveWithCells="1">
              <from>
                <xdr:col>5</xdr:col>
                <xdr:colOff>9525</xdr:colOff>
                <xdr:row>39</xdr:row>
                <xdr:rowOff>0</xdr:rowOff>
              </from>
              <to>
                <xdr:col>15</xdr:col>
                <xdr:colOff>28575</xdr:colOff>
                <xdr:row>40</xdr:row>
                <xdr:rowOff>9525</xdr:rowOff>
              </to>
            </anchor>
          </controlPr>
        </control>
      </mc:Choice>
      <mc:Fallback>
        <control shapeId="8207" r:id="rId15" name="ComboBox13"/>
      </mc:Fallback>
    </mc:AlternateContent>
    <mc:AlternateContent xmlns:mc="http://schemas.openxmlformats.org/markup-compatibility/2006">
      <mc:Choice Requires="x14">
        <control shapeId="8208" r:id="rId16" name="ComboBox14">
          <controlPr defaultSize="0" autoLine="0" linkedCell="F38" listFillRange="Stocklist" r:id="rId9">
            <anchor moveWithCells="1">
              <from>
                <xdr:col>5</xdr:col>
                <xdr:colOff>9525</xdr:colOff>
                <xdr:row>37</xdr:row>
                <xdr:rowOff>0</xdr:rowOff>
              </from>
              <to>
                <xdr:col>15</xdr:col>
                <xdr:colOff>28575</xdr:colOff>
                <xdr:row>38</xdr:row>
                <xdr:rowOff>9525</xdr:rowOff>
              </to>
            </anchor>
          </controlPr>
        </control>
      </mc:Choice>
      <mc:Fallback>
        <control shapeId="8208" r:id="rId16" name="ComboBox14"/>
      </mc:Fallback>
    </mc:AlternateContent>
    <mc:AlternateContent xmlns:mc="http://schemas.openxmlformats.org/markup-compatibility/2006">
      <mc:Choice Requires="x14">
        <control shapeId="8209" r:id="rId17" name="ComboBox15">
          <controlPr defaultSize="0" autoLine="0" linkedCell="F36" listFillRange="Stocklist" r:id="rId9">
            <anchor moveWithCells="1">
              <from>
                <xdr:col>5</xdr:col>
                <xdr:colOff>9525</xdr:colOff>
                <xdr:row>35</xdr:row>
                <xdr:rowOff>0</xdr:rowOff>
              </from>
              <to>
                <xdr:col>15</xdr:col>
                <xdr:colOff>28575</xdr:colOff>
                <xdr:row>36</xdr:row>
                <xdr:rowOff>9525</xdr:rowOff>
              </to>
            </anchor>
          </controlPr>
        </control>
      </mc:Choice>
      <mc:Fallback>
        <control shapeId="8209" r:id="rId17" name="ComboBox15"/>
      </mc:Fallback>
    </mc:AlternateContent>
    <mc:AlternateContent xmlns:mc="http://schemas.openxmlformats.org/markup-compatibility/2006">
      <mc:Choice Requires="x14">
        <control shapeId="8210" r:id="rId18" name="ComboBox16">
          <controlPr defaultSize="0" autoLine="0" linkedCell="F34" listFillRange="Stocklist" r:id="rId7">
            <anchor moveWithCells="1">
              <from>
                <xdr:col>5</xdr:col>
                <xdr:colOff>9525</xdr:colOff>
                <xdr:row>33</xdr:row>
                <xdr:rowOff>0</xdr:rowOff>
              </from>
              <to>
                <xdr:col>15</xdr:col>
                <xdr:colOff>38100</xdr:colOff>
                <xdr:row>34</xdr:row>
                <xdr:rowOff>9525</xdr:rowOff>
              </to>
            </anchor>
          </controlPr>
        </control>
      </mc:Choice>
      <mc:Fallback>
        <control shapeId="8210" r:id="rId18" name="ComboBox16"/>
      </mc:Fallback>
    </mc:AlternateContent>
    <mc:AlternateContent xmlns:mc="http://schemas.openxmlformats.org/markup-compatibility/2006">
      <mc:Choice Requires="x14">
        <control shapeId="8211" r:id="rId19" name="ComboBox17">
          <controlPr defaultSize="0" autoLine="0" linkedCell="F32" listFillRange="Stocklist" r:id="rId9">
            <anchor moveWithCells="1">
              <from>
                <xdr:col>5</xdr:col>
                <xdr:colOff>9525</xdr:colOff>
                <xdr:row>31</xdr:row>
                <xdr:rowOff>0</xdr:rowOff>
              </from>
              <to>
                <xdr:col>15</xdr:col>
                <xdr:colOff>28575</xdr:colOff>
                <xdr:row>32</xdr:row>
                <xdr:rowOff>9525</xdr:rowOff>
              </to>
            </anchor>
          </controlPr>
        </control>
      </mc:Choice>
      <mc:Fallback>
        <control shapeId="8211" r:id="rId19" name="ComboBox17"/>
      </mc:Fallback>
    </mc:AlternateContent>
    <mc:AlternateContent xmlns:mc="http://schemas.openxmlformats.org/markup-compatibility/2006">
      <mc:Choice Requires="x14">
        <control shapeId="8212" r:id="rId20" name="ComboBox18">
          <controlPr defaultSize="0" autoLine="0" linkedCell="F30" listFillRange="Stocklist" r:id="rId9">
            <anchor moveWithCells="1">
              <from>
                <xdr:col>5</xdr:col>
                <xdr:colOff>9525</xdr:colOff>
                <xdr:row>29</xdr:row>
                <xdr:rowOff>0</xdr:rowOff>
              </from>
              <to>
                <xdr:col>15</xdr:col>
                <xdr:colOff>28575</xdr:colOff>
                <xdr:row>30</xdr:row>
                <xdr:rowOff>9525</xdr:rowOff>
              </to>
            </anchor>
          </controlPr>
        </control>
      </mc:Choice>
      <mc:Fallback>
        <control shapeId="8212" r:id="rId20" name="ComboBox18"/>
      </mc:Fallback>
    </mc:AlternateContent>
    <mc:AlternateContent xmlns:mc="http://schemas.openxmlformats.org/markup-compatibility/2006">
      <mc:Choice Requires="x14">
        <control shapeId="8213" r:id="rId21" name="Button 21">
          <controlPr defaultSize="0" print="0" autoFill="0" autoPict="0" macro="[0]!Button21_Click">
            <anchor moveWithCells="1" sizeWithCells="1">
              <from>
                <xdr:col>7</xdr:col>
                <xdr:colOff>219075</xdr:colOff>
                <xdr:row>21</xdr:row>
                <xdr:rowOff>47625</xdr:rowOff>
              </from>
              <to>
                <xdr:col>12</xdr:col>
                <xdr:colOff>200025</xdr:colOff>
                <xdr:row>25</xdr:row>
                <xdr:rowOff>9525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rgb="FF7030A0"/>
    <pageSetUpPr autoPageBreaks="0" fitToPage="1"/>
  </sheetPr>
  <dimension ref="A1:O62"/>
  <sheetViews>
    <sheetView workbookViewId="0"/>
  </sheetViews>
  <sheetFormatPr defaultColWidth="9.140625" defaultRowHeight="12.75" x14ac:dyDescent="0.2"/>
  <cols>
    <col min="1" max="1" width="1.7109375" style="150" customWidth="1"/>
    <col min="2" max="2" width="14.7109375" style="10" customWidth="1"/>
    <col min="3" max="3" width="14" style="10" customWidth="1"/>
    <col min="4" max="4" width="10.85546875" style="10" customWidth="1"/>
    <col min="5" max="6" width="17.28515625" style="10" customWidth="1"/>
    <col min="7" max="7" width="23.5703125" style="10" customWidth="1"/>
    <col min="8" max="8" width="13.42578125" style="10" customWidth="1"/>
    <col min="9" max="9" width="16.28515625" style="10" customWidth="1"/>
    <col min="10" max="10" width="4.7109375" style="10" customWidth="1"/>
    <col min="11" max="11" width="9.140625" style="10"/>
    <col min="12" max="12" width="20.5703125" style="10" customWidth="1"/>
    <col min="13" max="16384" width="9.140625" style="10"/>
  </cols>
  <sheetData>
    <row r="1" spans="1:15" ht="2.1" customHeight="1" x14ac:dyDescent="0.2"/>
    <row r="2" spans="1:15" s="200" customFormat="1" ht="6" customHeight="1" x14ac:dyDescent="0.2"/>
    <row r="3" spans="1:15" ht="27" customHeight="1" x14ac:dyDescent="0.2">
      <c r="B3" s="435" t="str">
        <f>IF(PNP&lt;&gt;"",PNP,"")</f>
        <v/>
      </c>
      <c r="C3" s="436"/>
      <c r="D3" s="436"/>
      <c r="E3" s="436"/>
      <c r="F3" s="436"/>
      <c r="G3" s="167"/>
      <c r="H3" s="168"/>
      <c r="I3" s="169" t="s">
        <v>113</v>
      </c>
      <c r="J3" s="150"/>
      <c r="K3" s="150"/>
      <c r="L3" s="150"/>
      <c r="M3" s="150"/>
      <c r="N3" s="150"/>
      <c r="O3" s="150"/>
    </row>
    <row r="4" spans="1:15" ht="18.75" hidden="1" x14ac:dyDescent="0.3">
      <c r="A4" s="165"/>
      <c r="B4" s="170" t="str">
        <f>IF($B$3&lt;&gt;"","PRACTICE NUMBER: "&amp;VLOOKUP($B$3,PNPMatrix,15,0),"")</f>
        <v/>
      </c>
      <c r="C4" s="171"/>
      <c r="D4" s="171"/>
      <c r="E4" s="171"/>
      <c r="F4" s="171"/>
      <c r="G4" s="171"/>
      <c r="H4" s="441" t="str">
        <f>IF($B$3&lt;&gt;"",IF(VLOOKUP($B$3,PNPMatrix,7,0)="","Not VAT Registered","VAT NO: "&amp;VLOOKUP($B$3,PNPMatrix,7,0)),"")</f>
        <v/>
      </c>
      <c r="I4" s="442"/>
      <c r="J4" s="150"/>
      <c r="K4" s="150"/>
      <c r="L4" s="150"/>
      <c r="M4" s="150"/>
      <c r="N4" s="150"/>
      <c r="O4" s="150"/>
    </row>
    <row r="5" spans="1:15" ht="18.75" hidden="1" x14ac:dyDescent="0.3">
      <c r="A5" s="165"/>
      <c r="B5" s="172" t="str">
        <f>IF($B$3&lt;&gt;"",VLOOKUP($B$3,PNPMatrix,9,0),"")</f>
        <v/>
      </c>
      <c r="C5" s="171"/>
      <c r="D5" s="171"/>
      <c r="E5" s="171"/>
      <c r="F5" s="171"/>
      <c r="G5" s="171"/>
      <c r="H5" s="441" t="str">
        <f>IF($B$3&lt;&gt;"","TEL: "&amp;VLOOKUP($B$3,PNPMatrix,12,0),"")</f>
        <v/>
      </c>
      <c r="I5" s="442"/>
      <c r="J5" s="150"/>
      <c r="K5" s="150"/>
      <c r="L5" s="150"/>
      <c r="M5" s="150"/>
      <c r="N5" s="150"/>
      <c r="O5" s="150"/>
    </row>
    <row r="6" spans="1:15" ht="18.75" hidden="1" x14ac:dyDescent="0.3">
      <c r="A6" s="165"/>
      <c r="B6" s="172" t="str">
        <f>IF($B$3&lt;&gt;"",VLOOKUP($B$3,PNPMatrix,10,0),"")</f>
        <v/>
      </c>
      <c r="C6" s="171"/>
      <c r="D6" s="171"/>
      <c r="E6" s="171"/>
      <c r="F6" s="171"/>
      <c r="G6" s="171"/>
      <c r="H6" s="441" t="str">
        <f>IF($B$3&lt;&gt;"","FAX: "&amp;VLOOKUP($B$3,PNPMatrix,13,0),"")</f>
        <v/>
      </c>
      <c r="I6" s="442"/>
      <c r="J6" s="150"/>
      <c r="K6" s="150"/>
      <c r="L6" s="150"/>
      <c r="M6" s="150"/>
      <c r="N6" s="150"/>
      <c r="O6" s="150"/>
    </row>
    <row r="7" spans="1:15" ht="18.75" hidden="1" x14ac:dyDescent="0.3">
      <c r="A7" s="165"/>
      <c r="B7" s="172" t="str">
        <f>IF($B$3&lt;&gt;"",VLOOKUP($B$3,PNPMatrix,11,0),"")</f>
        <v/>
      </c>
      <c r="C7" s="171"/>
      <c r="D7" s="171"/>
      <c r="E7" s="171"/>
      <c r="F7" s="219"/>
      <c r="G7" s="171"/>
      <c r="H7" s="441" t="str">
        <f>IF($B$3&lt;&gt;"","CELL: "&amp;VLOOKUP($B$3,PNPMatrix,14,0),"")</f>
        <v/>
      </c>
      <c r="I7" s="442"/>
      <c r="J7" s="150"/>
      <c r="K7" s="150"/>
      <c r="L7" s="150"/>
      <c r="M7" s="150"/>
      <c r="N7" s="150"/>
      <c r="O7" s="150"/>
    </row>
    <row r="8" spans="1:15" ht="8.1" customHeight="1" x14ac:dyDescent="0.25">
      <c r="A8" s="166"/>
      <c r="B8" s="173"/>
      <c r="C8" s="156"/>
      <c r="D8" s="156"/>
      <c r="E8" s="156"/>
      <c r="F8" s="156"/>
      <c r="G8" s="156"/>
      <c r="H8" s="156"/>
      <c r="I8" s="174"/>
      <c r="J8" s="150"/>
      <c r="K8" s="150"/>
      <c r="L8" s="150"/>
      <c r="M8" s="150"/>
      <c r="N8" s="150"/>
      <c r="O8" s="150"/>
    </row>
    <row r="9" spans="1:15" ht="5.0999999999999996" customHeight="1" x14ac:dyDescent="0.25">
      <c r="A9" s="165"/>
      <c r="B9" s="175"/>
      <c r="C9" s="171"/>
      <c r="D9" s="171"/>
      <c r="E9" s="171"/>
      <c r="F9" s="171"/>
      <c r="G9" s="171"/>
      <c r="H9" s="171"/>
      <c r="I9" s="176"/>
      <c r="J9" s="150"/>
      <c r="K9" s="150"/>
      <c r="L9" s="150"/>
      <c r="M9" s="150"/>
      <c r="N9" s="150"/>
      <c r="O9" s="150"/>
    </row>
    <row r="10" spans="1:15" ht="21.75" customHeight="1" x14ac:dyDescent="0.2">
      <c r="B10" s="438" t="str">
        <f>"Please capture only the invoice items for Patient "&amp; pd_name &amp;" "&amp;pd_surname&amp;" here"</f>
        <v>Please capture only the invoice items for Patient   here</v>
      </c>
      <c r="C10" s="439"/>
      <c r="D10" s="439"/>
      <c r="E10" s="439"/>
      <c r="F10" s="439"/>
      <c r="G10" s="439"/>
      <c r="H10" s="439"/>
      <c r="I10" s="440"/>
      <c r="J10" s="150"/>
      <c r="K10" s="150"/>
      <c r="L10" s="150"/>
      <c r="M10" s="150"/>
      <c r="N10" s="150"/>
      <c r="O10" s="150"/>
    </row>
    <row r="11" spans="1:15" ht="5.0999999999999996" customHeight="1" x14ac:dyDescent="0.2">
      <c r="B11" s="177"/>
      <c r="C11" s="171"/>
      <c r="D11" s="171"/>
      <c r="E11" s="171"/>
      <c r="F11" s="171"/>
      <c r="G11" s="171"/>
      <c r="H11" s="171"/>
      <c r="I11" s="176"/>
      <c r="J11" s="150"/>
      <c r="K11" s="150"/>
      <c r="L11" s="150"/>
      <c r="M11" s="150"/>
      <c r="N11" s="150"/>
      <c r="O11" s="150"/>
    </row>
    <row r="12" spans="1:15" ht="15" customHeight="1" x14ac:dyDescent="0.3">
      <c r="B12" s="178" t="s">
        <v>897</v>
      </c>
      <c r="C12" s="152"/>
      <c r="D12" s="152"/>
      <c r="E12" s="152"/>
      <c r="F12" s="152"/>
      <c r="G12" s="152"/>
      <c r="H12" s="157"/>
      <c r="I12" s="179"/>
      <c r="J12" s="150"/>
      <c r="K12" s="150"/>
      <c r="L12" s="150"/>
      <c r="M12" s="150"/>
      <c r="N12" s="150"/>
      <c r="O12" s="150"/>
    </row>
    <row r="13" spans="1:15" ht="15" customHeight="1" x14ac:dyDescent="0.3">
      <c r="B13" s="180" t="s">
        <v>898</v>
      </c>
      <c r="C13" s="152"/>
      <c r="D13" s="152"/>
      <c r="E13" s="152"/>
      <c r="F13" s="152"/>
      <c r="G13" s="152"/>
      <c r="H13" s="181" t="s">
        <v>114</v>
      </c>
      <c r="I13" s="234"/>
      <c r="J13" s="150"/>
      <c r="K13" s="150"/>
      <c r="L13" s="150"/>
      <c r="M13" s="150"/>
      <c r="N13" s="150"/>
      <c r="O13" s="150"/>
    </row>
    <row r="14" spans="1:15" ht="15" customHeight="1" x14ac:dyDescent="0.3">
      <c r="B14" s="180" t="s">
        <v>899</v>
      </c>
      <c r="C14" s="152"/>
      <c r="D14" s="152"/>
      <c r="E14" s="152"/>
      <c r="F14" s="152"/>
      <c r="G14" s="152"/>
      <c r="H14" s="181" t="s">
        <v>115</v>
      </c>
      <c r="I14" s="154"/>
      <c r="J14" s="150"/>
      <c r="K14" s="150"/>
      <c r="L14" s="150"/>
      <c r="M14" s="150"/>
      <c r="N14" s="150"/>
      <c r="O14" s="150"/>
    </row>
    <row r="15" spans="1:15" ht="15" customHeight="1" x14ac:dyDescent="0.3">
      <c r="B15" s="180" t="s">
        <v>900</v>
      </c>
      <c r="C15" s="157"/>
      <c r="D15" s="157"/>
      <c r="E15" s="157"/>
      <c r="F15" s="157"/>
      <c r="G15" s="182"/>
      <c r="H15" s="183"/>
      <c r="I15" s="184"/>
      <c r="J15" s="150"/>
      <c r="K15" s="150"/>
      <c r="L15" s="150"/>
      <c r="M15" s="150"/>
      <c r="N15" s="150"/>
      <c r="O15" s="150"/>
    </row>
    <row r="16" spans="1:15" ht="15" customHeight="1" x14ac:dyDescent="0.3">
      <c r="B16" s="185" t="s">
        <v>901</v>
      </c>
      <c r="C16" s="157"/>
      <c r="D16" s="157"/>
      <c r="E16" s="157"/>
      <c r="F16" s="186" t="s">
        <v>784</v>
      </c>
      <c r="G16" s="443" t="str">
        <f>pd_name &amp;" "&amp;pd_surname</f>
        <v xml:space="preserve"> </v>
      </c>
      <c r="H16" s="444"/>
      <c r="I16" s="445"/>
      <c r="J16" s="150"/>
      <c r="K16" s="150"/>
      <c r="L16" s="150"/>
      <c r="M16" s="150"/>
      <c r="N16" s="150"/>
      <c r="O16" s="150"/>
    </row>
    <row r="17" spans="2:15" ht="15" customHeight="1" x14ac:dyDescent="0.3">
      <c r="B17" s="187"/>
      <c r="C17" s="157"/>
      <c r="D17" s="157"/>
      <c r="E17" s="157"/>
      <c r="F17" s="157"/>
      <c r="G17" s="157"/>
      <c r="H17" s="157"/>
      <c r="I17" s="179"/>
      <c r="J17" s="150"/>
      <c r="K17" s="150"/>
      <c r="L17" s="150"/>
      <c r="M17" s="150"/>
      <c r="N17" s="150"/>
      <c r="O17" s="150"/>
    </row>
    <row r="18" spans="2:15" ht="15" customHeight="1" x14ac:dyDescent="0.3">
      <c r="B18" s="188"/>
      <c r="C18" s="157"/>
      <c r="D18" s="157"/>
      <c r="E18" s="157"/>
      <c r="F18" s="157"/>
      <c r="G18" s="157"/>
      <c r="H18" s="157"/>
      <c r="I18" s="179"/>
      <c r="J18" s="150"/>
      <c r="K18" s="150"/>
      <c r="L18" s="150"/>
      <c r="M18" s="150"/>
      <c r="N18" s="150"/>
      <c r="O18" s="150"/>
    </row>
    <row r="19" spans="2:15" ht="18" customHeight="1" x14ac:dyDescent="0.2">
      <c r="B19" s="159" t="s">
        <v>783</v>
      </c>
      <c r="C19" s="437" t="s">
        <v>782</v>
      </c>
      <c r="D19" s="437"/>
      <c r="E19" s="437" t="s">
        <v>907</v>
      </c>
      <c r="F19" s="437"/>
      <c r="G19" s="437"/>
      <c r="H19" s="164" t="s">
        <v>116</v>
      </c>
      <c r="I19" s="160" t="s">
        <v>117</v>
      </c>
      <c r="J19" s="150"/>
      <c r="K19" s="150"/>
      <c r="L19" s="150"/>
      <c r="M19" s="150"/>
      <c r="N19" s="150"/>
      <c r="O19" s="150"/>
    </row>
    <row r="20" spans="2:15" ht="20.100000000000001" customHeight="1" x14ac:dyDescent="0.3">
      <c r="B20" s="153"/>
      <c r="C20" s="434"/>
      <c r="D20" s="434"/>
      <c r="E20" s="434"/>
      <c r="F20" s="434"/>
      <c r="G20" s="434"/>
      <c r="H20" s="148" t="str">
        <f>IF(ISERROR(VLOOKUP(C20,SETUP!AC:AD,2,0)),"",VLOOKUP(C20,SETUP!AC:AD,2,0))</f>
        <v/>
      </c>
      <c r="I20" s="147">
        <f t="shared" ref="I20:I34" si="0" xml:space="preserve"> IF(C20="",0,H20)</f>
        <v>0</v>
      </c>
      <c r="J20" s="150"/>
      <c r="K20" s="150"/>
      <c r="L20" s="150"/>
      <c r="M20" s="150"/>
      <c r="N20" s="150"/>
      <c r="O20" s="150"/>
    </row>
    <row r="21" spans="2:15" ht="20.100000000000001" customHeight="1" x14ac:dyDescent="0.3">
      <c r="B21" s="153"/>
      <c r="C21" s="434"/>
      <c r="D21" s="434"/>
      <c r="E21" s="434"/>
      <c r="F21" s="434"/>
      <c r="G21" s="434"/>
      <c r="H21" s="148" t="str">
        <f>IF(ISERROR(VLOOKUP(C21,SETUP!AC:AD,2,0)),"",VLOOKUP(C21,SETUP!AC:AD,2,0))</f>
        <v/>
      </c>
      <c r="I21" s="147">
        <f t="shared" si="0"/>
        <v>0</v>
      </c>
      <c r="J21" s="150"/>
      <c r="K21" s="150"/>
      <c r="L21" s="150"/>
      <c r="M21" s="150"/>
      <c r="N21" s="150"/>
      <c r="O21" s="150"/>
    </row>
    <row r="22" spans="2:15" ht="20.100000000000001" customHeight="1" x14ac:dyDescent="0.3">
      <c r="B22" s="153"/>
      <c r="C22" s="434"/>
      <c r="D22" s="434"/>
      <c r="E22" s="434"/>
      <c r="F22" s="434"/>
      <c r="G22" s="434"/>
      <c r="H22" s="148" t="str">
        <f>IF(ISERROR(VLOOKUP(C22,SETUP!AC:AD,2,0)),"",VLOOKUP(C22,SETUP!AC:AD,2,0))</f>
        <v/>
      </c>
      <c r="I22" s="147">
        <f t="shared" si="0"/>
        <v>0</v>
      </c>
      <c r="J22" s="150"/>
      <c r="K22" s="150"/>
      <c r="L22" s="150"/>
      <c r="M22" s="150"/>
      <c r="N22" s="150"/>
      <c r="O22" s="150"/>
    </row>
    <row r="23" spans="2:15" ht="20.100000000000001" customHeight="1" x14ac:dyDescent="0.3">
      <c r="B23" s="153"/>
      <c r="C23" s="434"/>
      <c r="D23" s="434"/>
      <c r="E23" s="434"/>
      <c r="F23" s="434"/>
      <c r="G23" s="434"/>
      <c r="H23" s="148" t="str">
        <f>IF(ISERROR(VLOOKUP(C23,SETUP!AC:AD,2,0)),"",VLOOKUP(C23,SETUP!AC:AD,2,0))</f>
        <v/>
      </c>
      <c r="I23" s="147">
        <f xml:space="preserve"> IF(C23="",0,H23)</f>
        <v>0</v>
      </c>
      <c r="J23" s="150"/>
      <c r="K23" s="150"/>
      <c r="L23" s="150"/>
      <c r="M23" s="150"/>
      <c r="N23" s="150"/>
      <c r="O23" s="150"/>
    </row>
    <row r="24" spans="2:15" ht="20.100000000000001" customHeight="1" x14ac:dyDescent="0.3">
      <c r="B24" s="153"/>
      <c r="C24" s="434"/>
      <c r="D24" s="434"/>
      <c r="E24" s="434"/>
      <c r="F24" s="434"/>
      <c r="G24" s="434"/>
      <c r="H24" s="148" t="str">
        <f>IF(ISERROR(VLOOKUP(C24,SETUP!AC:AD,2,0)),"",VLOOKUP(C24,SETUP!AC:AD,2,0))</f>
        <v/>
      </c>
      <c r="I24" s="147">
        <f xml:space="preserve"> IF(C24="",0,H24)</f>
        <v>0</v>
      </c>
      <c r="J24" s="150"/>
      <c r="K24" s="150"/>
      <c r="L24" s="150"/>
      <c r="M24" s="150"/>
      <c r="N24" s="150"/>
      <c r="O24" s="150"/>
    </row>
    <row r="25" spans="2:15" ht="20.100000000000001" customHeight="1" x14ac:dyDescent="0.3">
      <c r="B25" s="153"/>
      <c r="C25" s="434"/>
      <c r="D25" s="434"/>
      <c r="E25" s="434"/>
      <c r="F25" s="434"/>
      <c r="G25" s="434"/>
      <c r="H25" s="148" t="str">
        <f>IF(ISERROR(VLOOKUP(C25,SETUP!AC:AD,2,0)),"",VLOOKUP(C25,SETUP!AC:AD,2,0))</f>
        <v/>
      </c>
      <c r="I25" s="147">
        <f xml:space="preserve"> IF(C25="",0,H25)</f>
        <v>0</v>
      </c>
      <c r="J25" s="150"/>
      <c r="K25" s="150"/>
      <c r="L25" s="150"/>
      <c r="M25" s="150"/>
      <c r="N25" s="150"/>
      <c r="O25" s="150"/>
    </row>
    <row r="26" spans="2:15" ht="20.100000000000001" customHeight="1" x14ac:dyDescent="0.3">
      <c r="B26" s="153"/>
      <c r="C26" s="434"/>
      <c r="D26" s="434"/>
      <c r="E26" s="434"/>
      <c r="F26" s="434"/>
      <c r="G26" s="434"/>
      <c r="H26" s="148" t="str">
        <f>IF(ISERROR(VLOOKUP(C26,SETUP!AC:AD,2,0)),"",VLOOKUP(C26,SETUP!AC:AD,2,0))</f>
        <v/>
      </c>
      <c r="I26" s="147">
        <f xml:space="preserve"> IF(C26="",0,H26)</f>
        <v>0</v>
      </c>
      <c r="J26" s="150"/>
      <c r="K26" s="150"/>
      <c r="L26" s="150"/>
      <c r="M26" s="150"/>
      <c r="N26" s="150"/>
      <c r="O26" s="150"/>
    </row>
    <row r="27" spans="2:15" ht="20.100000000000001" customHeight="1" x14ac:dyDescent="0.3">
      <c r="B27" s="153"/>
      <c r="C27" s="434"/>
      <c r="D27" s="434"/>
      <c r="E27" s="434"/>
      <c r="F27" s="434"/>
      <c r="G27" s="434"/>
      <c r="H27" s="148" t="str">
        <f>IF(ISERROR(VLOOKUP(C27,SETUP!AC:AD,2,0)),"",VLOOKUP(C27,SETUP!AC:AD,2,0))</f>
        <v/>
      </c>
      <c r="I27" s="147">
        <f t="shared" si="0"/>
        <v>0</v>
      </c>
      <c r="J27" s="150"/>
      <c r="K27" s="150"/>
      <c r="L27" s="150"/>
      <c r="M27" s="150"/>
      <c r="N27" s="150"/>
      <c r="O27" s="150"/>
    </row>
    <row r="28" spans="2:15" ht="20.100000000000001" customHeight="1" x14ac:dyDescent="0.3">
      <c r="B28" s="153"/>
      <c r="C28" s="434"/>
      <c r="D28" s="434"/>
      <c r="E28" s="434"/>
      <c r="F28" s="434"/>
      <c r="G28" s="434"/>
      <c r="H28" s="148" t="str">
        <f>IF(ISERROR(VLOOKUP(C28,SETUP!AC:AD,2,0)),"",VLOOKUP(C28,SETUP!AC:AD,2,0))</f>
        <v/>
      </c>
      <c r="I28" s="147">
        <f t="shared" si="0"/>
        <v>0</v>
      </c>
      <c r="J28" s="150"/>
      <c r="K28" s="150"/>
      <c r="L28" s="150"/>
      <c r="M28" s="150"/>
      <c r="N28" s="150"/>
      <c r="O28" s="150"/>
    </row>
    <row r="29" spans="2:15" ht="20.100000000000001" customHeight="1" x14ac:dyDescent="0.3">
      <c r="B29" s="153"/>
      <c r="C29" s="434"/>
      <c r="D29" s="434"/>
      <c r="E29" s="434"/>
      <c r="F29" s="434"/>
      <c r="G29" s="434"/>
      <c r="H29" s="148" t="str">
        <f>IF(ISERROR(VLOOKUP(C29,SETUP!AC:AD,2,0)),"",VLOOKUP(C29,SETUP!AC:AD,2,0))</f>
        <v/>
      </c>
      <c r="I29" s="147">
        <f t="shared" si="0"/>
        <v>0</v>
      </c>
      <c r="J29" s="150"/>
      <c r="K29" s="150"/>
      <c r="L29" s="150"/>
      <c r="M29" s="150"/>
      <c r="N29" s="150"/>
      <c r="O29" s="150"/>
    </row>
    <row r="30" spans="2:15" ht="20.100000000000001" customHeight="1" x14ac:dyDescent="0.3">
      <c r="B30" s="153"/>
      <c r="C30" s="434"/>
      <c r="D30" s="434"/>
      <c r="E30" s="434"/>
      <c r="F30" s="434"/>
      <c r="G30" s="434"/>
      <c r="H30" s="148" t="str">
        <f>IF(ISERROR(VLOOKUP(C30,SETUP!AC:AD,2,0)),"",VLOOKUP(C30,SETUP!AC:AD,2,0))</f>
        <v/>
      </c>
      <c r="I30" s="147">
        <f t="shared" si="0"/>
        <v>0</v>
      </c>
      <c r="J30" s="150"/>
      <c r="K30" s="150"/>
      <c r="L30" s="150"/>
      <c r="M30" s="150"/>
      <c r="N30" s="150"/>
      <c r="O30" s="150"/>
    </row>
    <row r="31" spans="2:15" ht="20.100000000000001" customHeight="1" x14ac:dyDescent="0.3">
      <c r="B31" s="153"/>
      <c r="C31" s="434"/>
      <c r="D31" s="434"/>
      <c r="E31" s="434"/>
      <c r="F31" s="434"/>
      <c r="G31" s="434"/>
      <c r="H31" s="148" t="str">
        <f>IF(ISERROR(VLOOKUP(C31,SETUP!AC:AD,2,0)),"",VLOOKUP(C31,SETUP!AC:AD,2,0))</f>
        <v/>
      </c>
      <c r="I31" s="147">
        <f t="shared" si="0"/>
        <v>0</v>
      </c>
      <c r="J31" s="150"/>
      <c r="K31" s="150"/>
      <c r="L31" s="150"/>
      <c r="M31" s="150"/>
      <c r="N31" s="150"/>
      <c r="O31" s="150"/>
    </row>
    <row r="32" spans="2:15" ht="20.100000000000001" customHeight="1" x14ac:dyDescent="0.3">
      <c r="B32" s="153"/>
      <c r="C32" s="434"/>
      <c r="D32" s="434"/>
      <c r="E32" s="434"/>
      <c r="F32" s="434"/>
      <c r="G32" s="434"/>
      <c r="H32" s="148" t="str">
        <f>IF(ISERROR(VLOOKUP(C32,SETUP!AC:AD,2,0)),"",VLOOKUP(C32,SETUP!AC:AD,2,0))</f>
        <v/>
      </c>
      <c r="I32" s="147">
        <f t="shared" si="0"/>
        <v>0</v>
      </c>
      <c r="J32" s="150"/>
      <c r="K32" s="150"/>
      <c r="L32" s="150"/>
      <c r="M32" s="150"/>
      <c r="N32" s="150"/>
      <c r="O32" s="150"/>
    </row>
    <row r="33" spans="1:15" ht="20.100000000000001" customHeight="1" x14ac:dyDescent="0.3">
      <c r="B33" s="153"/>
      <c r="C33" s="434"/>
      <c r="D33" s="434"/>
      <c r="E33" s="434"/>
      <c r="F33" s="434"/>
      <c r="G33" s="434"/>
      <c r="H33" s="148" t="str">
        <f>IF(ISERROR(VLOOKUP(C33,SETUP!AC:AD,2,0)),"",VLOOKUP(C33,SETUP!AC:AD,2,0))</f>
        <v/>
      </c>
      <c r="I33" s="147">
        <f t="shared" si="0"/>
        <v>0</v>
      </c>
      <c r="J33" s="150"/>
      <c r="K33" s="150"/>
      <c r="L33" s="150"/>
      <c r="M33" s="150"/>
      <c r="N33" s="150"/>
      <c r="O33" s="150"/>
    </row>
    <row r="34" spans="1:15" ht="20.100000000000001" customHeight="1" x14ac:dyDescent="0.3">
      <c r="B34" s="153"/>
      <c r="C34" s="434"/>
      <c r="D34" s="434"/>
      <c r="E34" s="434"/>
      <c r="F34" s="434"/>
      <c r="G34" s="434"/>
      <c r="H34" s="148" t="str">
        <f>IF(ISERROR(VLOOKUP(C34,SETUP!AC:AD,2,0)),"",VLOOKUP(C34,SETUP!AC:AD,2,0))</f>
        <v/>
      </c>
      <c r="I34" s="147">
        <f t="shared" si="0"/>
        <v>0</v>
      </c>
      <c r="J34" s="150"/>
      <c r="K34" s="150"/>
      <c r="L34" s="150"/>
      <c r="M34" s="150"/>
      <c r="N34" s="150"/>
      <c r="O34" s="150"/>
    </row>
    <row r="35" spans="1:15" ht="16.5" x14ac:dyDescent="0.3">
      <c r="B35" s="188"/>
      <c r="C35" s="157"/>
      <c r="D35" s="157"/>
      <c r="E35" s="157"/>
      <c r="F35" s="157"/>
      <c r="G35" s="157"/>
      <c r="H35" s="242" t="s">
        <v>118</v>
      </c>
      <c r="I35" s="189">
        <f>SUM(I20:I34)</f>
        <v>0</v>
      </c>
      <c r="J35" s="150"/>
      <c r="K35" s="150"/>
      <c r="L35" s="150"/>
      <c r="M35" s="150"/>
      <c r="N35" s="150"/>
      <c r="O35" s="150"/>
    </row>
    <row r="36" spans="1:15" ht="16.5" hidden="1" x14ac:dyDescent="0.3">
      <c r="B36" s="188"/>
      <c r="C36" s="157"/>
      <c r="D36" s="157"/>
      <c r="E36" s="157"/>
      <c r="F36" s="157"/>
      <c r="G36" s="157"/>
      <c r="H36" s="162" t="s">
        <v>119</v>
      </c>
      <c r="I36" s="191">
        <f>IF(ISERROR(I35*0.15),0,I35*0.15)</f>
        <v>0</v>
      </c>
      <c r="J36" s="150"/>
      <c r="K36" s="150"/>
      <c r="L36" s="150"/>
      <c r="M36" s="150"/>
      <c r="N36" s="150"/>
      <c r="O36" s="150"/>
    </row>
    <row r="37" spans="1:15" ht="16.5" hidden="1" x14ac:dyDescent="0.3">
      <c r="B37" s="190"/>
      <c r="C37" s="161"/>
      <c r="D37" s="161"/>
      <c r="E37" s="161"/>
      <c r="F37" s="161"/>
      <c r="G37" s="161"/>
      <c r="H37" s="163" t="s">
        <v>120</v>
      </c>
      <c r="I37" s="240" t="str">
        <f>IF(SUM(I35),SUM(I35:I36),"")</f>
        <v/>
      </c>
      <c r="J37" s="150"/>
      <c r="K37" s="150"/>
      <c r="L37" s="150"/>
      <c r="M37" s="150"/>
      <c r="N37" s="150"/>
      <c r="O37" s="150"/>
    </row>
    <row r="38" spans="1:15" ht="16.5" x14ac:dyDescent="0.3">
      <c r="B38" s="188"/>
      <c r="C38" s="157"/>
      <c r="D38" s="157"/>
      <c r="E38" s="157"/>
      <c r="F38" s="157"/>
      <c r="G38" s="157"/>
      <c r="H38" s="193"/>
      <c r="I38" s="241"/>
      <c r="J38" s="150"/>
      <c r="K38" s="150"/>
      <c r="L38" s="150"/>
      <c r="M38" s="150"/>
      <c r="N38" s="150"/>
      <c r="O38" s="150"/>
    </row>
    <row r="39" spans="1:15" s="11" customFormat="1" ht="15" customHeight="1" x14ac:dyDescent="0.3">
      <c r="A39" s="151"/>
      <c r="B39" s="192" t="s">
        <v>121</v>
      </c>
      <c r="C39" s="157"/>
      <c r="D39" s="157"/>
      <c r="E39" s="157"/>
      <c r="F39" s="193"/>
      <c r="G39" s="157"/>
      <c r="H39" s="157"/>
      <c r="I39" s="195"/>
      <c r="J39" s="151"/>
      <c r="K39" s="151"/>
      <c r="L39" s="151"/>
      <c r="M39" s="151"/>
      <c r="N39" s="151"/>
      <c r="O39" s="151"/>
    </row>
    <row r="40" spans="1:15" s="11" customFormat="1" ht="15" customHeight="1" x14ac:dyDescent="0.3">
      <c r="A40" s="151"/>
      <c r="B40" s="194" t="s">
        <v>122</v>
      </c>
      <c r="C40" s="157"/>
      <c r="D40" s="157"/>
      <c r="E40" s="157"/>
      <c r="F40" s="158"/>
      <c r="G40" s="157"/>
      <c r="H40" s="157"/>
      <c r="I40" s="195"/>
      <c r="J40" s="151"/>
      <c r="K40" s="151"/>
      <c r="L40" s="151"/>
      <c r="M40" s="151"/>
      <c r="N40" s="151"/>
      <c r="O40" s="151"/>
    </row>
    <row r="41" spans="1:15" s="11" customFormat="1" ht="15" customHeight="1" x14ac:dyDescent="0.3">
      <c r="A41" s="151"/>
      <c r="B41" s="194" t="s">
        <v>123</v>
      </c>
      <c r="C41" s="157"/>
      <c r="D41" s="157"/>
      <c r="E41" s="157"/>
      <c r="F41" s="158"/>
      <c r="G41" s="157"/>
      <c r="H41" s="157"/>
      <c r="I41" s="179"/>
      <c r="J41" s="151"/>
      <c r="K41" s="151"/>
      <c r="L41" s="151"/>
      <c r="M41" s="151"/>
      <c r="N41" s="151"/>
      <c r="O41" s="151"/>
    </row>
    <row r="42" spans="1:15" s="11" customFormat="1" ht="15" customHeight="1" x14ac:dyDescent="0.3">
      <c r="A42" s="151"/>
      <c r="B42" s="196" t="s">
        <v>124</v>
      </c>
      <c r="C42" s="157"/>
      <c r="D42" s="157"/>
      <c r="E42" s="157"/>
      <c r="F42" s="158"/>
      <c r="G42" s="157"/>
      <c r="H42" s="157"/>
      <c r="I42" s="179"/>
      <c r="J42" s="151"/>
      <c r="K42" s="151"/>
      <c r="L42" s="151"/>
      <c r="M42" s="151"/>
      <c r="N42" s="151"/>
      <c r="O42" s="151"/>
    </row>
    <row r="43" spans="1:15" s="11" customFormat="1" ht="15" customHeight="1" x14ac:dyDescent="0.3">
      <c r="A43" s="151"/>
      <c r="B43" s="188"/>
      <c r="C43" s="157"/>
      <c r="D43" s="157"/>
      <c r="E43" s="157"/>
      <c r="F43" s="158"/>
      <c r="G43" s="157"/>
      <c r="H43" s="157"/>
      <c r="I43" s="179"/>
      <c r="J43" s="151"/>
      <c r="K43" s="151"/>
      <c r="L43" s="151"/>
      <c r="M43" s="151"/>
      <c r="N43" s="151"/>
      <c r="O43" s="151"/>
    </row>
    <row r="44" spans="1:15" ht="15" customHeight="1" x14ac:dyDescent="0.25">
      <c r="B44" s="197" t="s">
        <v>125</v>
      </c>
      <c r="C44" s="198"/>
      <c r="D44" s="198"/>
      <c r="E44" s="198"/>
      <c r="F44" s="198"/>
      <c r="G44" s="198"/>
      <c r="H44" s="198"/>
      <c r="I44" s="199"/>
      <c r="J44" s="150"/>
      <c r="K44" s="150"/>
      <c r="L44" s="150"/>
      <c r="M44" s="150"/>
      <c r="N44" s="150"/>
      <c r="O44" s="150"/>
    </row>
    <row r="45" spans="1:15" x14ac:dyDescent="0.2"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</row>
    <row r="46" spans="1:15" x14ac:dyDescent="0.2"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</row>
    <row r="47" spans="1:15" x14ac:dyDescent="0.2">
      <c r="B47" s="446"/>
      <c r="C47" s="447"/>
      <c r="D47" s="447"/>
      <c r="E47" s="447"/>
      <c r="F47" s="447"/>
      <c r="G47" s="447"/>
      <c r="H47" s="447"/>
      <c r="I47" s="447"/>
      <c r="J47" s="150"/>
      <c r="K47" s="150"/>
      <c r="L47" s="150"/>
      <c r="M47" s="150"/>
      <c r="N47" s="150"/>
      <c r="O47" s="150"/>
    </row>
    <row r="48" spans="1:15" x14ac:dyDescent="0.2"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</row>
    <row r="49" spans="2:15" x14ac:dyDescent="0.2"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</row>
    <row r="50" spans="2:15" x14ac:dyDescent="0.2"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</row>
    <row r="51" spans="2:15" x14ac:dyDescent="0.2"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</row>
    <row r="52" spans="2:15" x14ac:dyDescent="0.2"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</row>
    <row r="53" spans="2:15" x14ac:dyDescent="0.2"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</row>
    <row r="54" spans="2:15" x14ac:dyDescent="0.2"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</row>
    <row r="55" spans="2:15" x14ac:dyDescent="0.2"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</row>
    <row r="56" spans="2:15" x14ac:dyDescent="0.2"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</row>
    <row r="57" spans="2:15" x14ac:dyDescent="0.2"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</row>
    <row r="58" spans="2:15" x14ac:dyDescent="0.2"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</row>
    <row r="59" spans="2:15" x14ac:dyDescent="0.2"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</row>
    <row r="60" spans="2:15" x14ac:dyDescent="0.2"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</row>
    <row r="61" spans="2:15" x14ac:dyDescent="0.2"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</row>
    <row r="62" spans="2:15" x14ac:dyDescent="0.2"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</row>
  </sheetData>
  <sheetProtection algorithmName="SHA-512" hashValue="q7v4ewVpKgHLkhlmQO3jYCaYSqO9v3tadQXWZMRvuZhQfz4968KLyPKt7TlDLUujuZehMKxwPl62KEohxjY7DA==" saltValue="rkXPi+8O4dD9TDHhNZydTQ==" spinCount="100000" sheet="1" selectLockedCells="1"/>
  <dataConsolidate/>
  <mergeCells count="40">
    <mergeCell ref="C27:D27"/>
    <mergeCell ref="E24:G24"/>
    <mergeCell ref="B47:I47"/>
    <mergeCell ref="C32:D32"/>
    <mergeCell ref="C33:D33"/>
    <mergeCell ref="E34:G34"/>
    <mergeCell ref="E29:G29"/>
    <mergeCell ref="E32:G32"/>
    <mergeCell ref="E33:G33"/>
    <mergeCell ref="E30:G30"/>
    <mergeCell ref="E31:G31"/>
    <mergeCell ref="C34:D34"/>
    <mergeCell ref="C30:D30"/>
    <mergeCell ref="C31:D31"/>
    <mergeCell ref="C28:D28"/>
    <mergeCell ref="C29:D29"/>
    <mergeCell ref="E20:G20"/>
    <mergeCell ref="C23:D23"/>
    <mergeCell ref="C24:D24"/>
    <mergeCell ref="C25:D25"/>
    <mergeCell ref="C26:D26"/>
    <mergeCell ref="E23:G23"/>
    <mergeCell ref="E21:G21"/>
    <mergeCell ref="E22:G22"/>
    <mergeCell ref="E27:G27"/>
    <mergeCell ref="E28:G28"/>
    <mergeCell ref="C22:D22"/>
    <mergeCell ref="B3:F3"/>
    <mergeCell ref="C19:D19"/>
    <mergeCell ref="E19:G19"/>
    <mergeCell ref="C20:D20"/>
    <mergeCell ref="C21:D21"/>
    <mergeCell ref="B10:I10"/>
    <mergeCell ref="H4:I4"/>
    <mergeCell ref="H5:I5"/>
    <mergeCell ref="H6:I6"/>
    <mergeCell ref="H7:I7"/>
    <mergeCell ref="E25:G25"/>
    <mergeCell ref="E26:G26"/>
    <mergeCell ref="G16:I16"/>
  </mergeCells>
  <dataValidations count="2">
    <dataValidation type="list" allowBlank="1" showInputMessage="1" showErrorMessage="1" sqref="C20:D34" xr:uid="{00000000-0002-0000-0400-000000000000}">
      <formula1>ClaimItems</formula1>
    </dataValidation>
    <dataValidation allowBlank="1" showErrorMessage="1" sqref="G4 B9 B10:I10 C4:F9 B3:F3" xr:uid="{00000000-0002-0000-0400-000001000000}"/>
  </dataValidations>
  <hyperlinks>
    <hyperlink ref="B42" r:id="rId1" xr:uid="{00000000-0004-0000-0400-000000000000}"/>
  </hyperlinks>
  <printOptions horizontalCentered="1"/>
  <pageMargins left="0.23622047244094491" right="0.23622047244094491" top="0.74803149606299213" bottom="0.74803149606299213" header="0.23622047244094491" footer="0.51181102362204722"/>
  <pageSetup scale="80" orientation="portrait" horizontalDpi="4294967294" verticalDpi="300" r:id="rId2"/>
  <headerFooter alignWithMargins="0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rgb="FFFF0000"/>
  </sheetPr>
  <dimension ref="A1:AI250"/>
  <sheetViews>
    <sheetView topLeftCell="C1" workbookViewId="0">
      <selection activeCell="E14" sqref="E14"/>
    </sheetView>
  </sheetViews>
  <sheetFormatPr defaultColWidth="9.140625" defaultRowHeight="15.75" x14ac:dyDescent="0.3"/>
  <cols>
    <col min="1" max="1" width="1.7109375" style="2" hidden="1" customWidth="1"/>
    <col min="2" max="2" width="1.7109375" style="7" hidden="1" customWidth="1"/>
    <col min="3" max="3" width="14.28515625" style="2" customWidth="1"/>
    <col min="4" max="4" width="7.42578125" style="2" customWidth="1"/>
    <col min="5" max="5" width="52.5703125" style="2" customWidth="1"/>
    <col min="6" max="6" width="5.85546875" style="3" customWidth="1"/>
    <col min="7" max="7" width="7.28515625" style="2" hidden="1" customWidth="1"/>
    <col min="8" max="8" width="6.28515625" style="2" hidden="1" customWidth="1"/>
    <col min="9" max="9" width="0" style="2" hidden="1" customWidth="1"/>
    <col min="10" max="10" width="26" style="2" customWidth="1"/>
    <col min="11" max="11" width="5.7109375" style="2" customWidth="1"/>
    <col min="12" max="12" width="9.140625" style="2"/>
    <col min="13" max="13" width="17.7109375" style="2" bestFit="1" customWidth="1"/>
    <col min="14" max="14" width="47.28515625" style="2" bestFit="1" customWidth="1"/>
    <col min="15" max="15" width="4.5703125" style="2" customWidth="1"/>
    <col min="16" max="19" width="9.140625" style="2"/>
    <col min="20" max="20" width="4.42578125" style="2" customWidth="1"/>
    <col min="21" max="21" width="24.85546875" style="2" customWidth="1"/>
    <col min="22" max="22" width="3.5703125" style="2" customWidth="1"/>
    <col min="23" max="23" width="41.5703125" style="2" bestFit="1" customWidth="1"/>
    <col min="24" max="24" width="3" style="2" customWidth="1"/>
    <col min="25" max="25" width="37.5703125" style="2" customWidth="1"/>
    <col min="26" max="26" width="2.85546875" style="2" customWidth="1"/>
    <col min="27" max="27" width="42.42578125" style="2" customWidth="1"/>
    <col min="28" max="28" width="9.140625" style="2"/>
    <col min="29" max="29" width="28.7109375" style="2" customWidth="1"/>
    <col min="30" max="30" width="10" style="2" customWidth="1"/>
    <col min="31" max="16384" width="9.140625" style="2"/>
  </cols>
  <sheetData>
    <row r="1" spans="1:35" x14ac:dyDescent="0.3">
      <c r="A1" s="247"/>
      <c r="B1" s="247"/>
      <c r="C1" s="2" t="s">
        <v>791</v>
      </c>
      <c r="D1" s="1"/>
      <c r="E1" s="258" t="s">
        <v>1317</v>
      </c>
      <c r="J1" s="1" t="s">
        <v>2</v>
      </c>
      <c r="K1" s="1"/>
      <c r="L1" s="2" t="s">
        <v>182</v>
      </c>
      <c r="M1" s="1" t="s">
        <v>3</v>
      </c>
      <c r="N1" s="1" t="s">
        <v>4</v>
      </c>
      <c r="P1" s="4" t="s">
        <v>5</v>
      </c>
      <c r="Q1" s="5">
        <v>0</v>
      </c>
      <c r="R1" s="2" t="s">
        <v>6</v>
      </c>
      <c r="S1" s="6">
        <v>0</v>
      </c>
      <c r="U1" s="2" t="s">
        <v>187</v>
      </c>
      <c r="W1" s="2" t="s">
        <v>352</v>
      </c>
      <c r="Y1" s="2" t="s">
        <v>356</v>
      </c>
      <c r="AA1" s="2" t="s">
        <v>361</v>
      </c>
      <c r="AC1" s="2" t="s">
        <v>785</v>
      </c>
      <c r="AD1" s="2" t="s">
        <v>790</v>
      </c>
      <c r="AG1" s="2" t="s">
        <v>1040</v>
      </c>
      <c r="AH1" s="2" t="s">
        <v>1041</v>
      </c>
      <c r="AI1" s="2" t="s">
        <v>1042</v>
      </c>
    </row>
    <row r="2" spans="1:35" x14ac:dyDescent="0.3">
      <c r="A2" s="255"/>
      <c r="B2" s="255"/>
      <c r="C2" s="2">
        <v>0.15</v>
      </c>
      <c r="D2" s="260"/>
      <c r="E2" s="259" t="s">
        <v>1327</v>
      </c>
      <c r="J2" t="s">
        <v>7</v>
      </c>
      <c r="L2" s="2" t="s">
        <v>184</v>
      </c>
      <c r="M2" s="2" t="s">
        <v>8</v>
      </c>
      <c r="N2" s="2" t="s">
        <v>9</v>
      </c>
      <c r="U2" s="2" t="s">
        <v>311</v>
      </c>
      <c r="W2" s="2" t="s">
        <v>339</v>
      </c>
      <c r="Y2" s="65" t="s">
        <v>357</v>
      </c>
      <c r="AA2" s="65" t="s">
        <v>362</v>
      </c>
      <c r="AC2" s="2" t="s">
        <v>163</v>
      </c>
      <c r="AD2" s="2">
        <v>185</v>
      </c>
      <c r="AG2" s="7">
        <v>1915</v>
      </c>
      <c r="AH2" s="7" t="s">
        <v>1043</v>
      </c>
      <c r="AI2" s="7" t="s">
        <v>1043</v>
      </c>
    </row>
    <row r="3" spans="1:35" x14ac:dyDescent="0.3">
      <c r="A3" s="255"/>
      <c r="B3" s="255"/>
      <c r="D3" s="260"/>
      <c r="E3" s="259" t="s">
        <v>1136</v>
      </c>
      <c r="J3" t="s">
        <v>10</v>
      </c>
      <c r="L3" s="2" t="s">
        <v>183</v>
      </c>
      <c r="M3" s="2" t="s">
        <v>12</v>
      </c>
      <c r="N3" s="2" t="s">
        <v>13</v>
      </c>
      <c r="U3" s="2" t="s">
        <v>312</v>
      </c>
      <c r="W3" s="2" t="s">
        <v>340</v>
      </c>
      <c r="Y3" s="66" t="s">
        <v>358</v>
      </c>
      <c r="AA3" s="66" t="s">
        <v>363</v>
      </c>
      <c r="AC3" s="2" t="s">
        <v>789</v>
      </c>
      <c r="AD3" s="2">
        <v>185</v>
      </c>
      <c r="AG3" s="7">
        <v>1916</v>
      </c>
      <c r="AH3" s="7" t="s">
        <v>1044</v>
      </c>
      <c r="AI3" s="7" t="s">
        <v>1044</v>
      </c>
    </row>
    <row r="4" spans="1:35" x14ac:dyDescent="0.3">
      <c r="A4" s="255"/>
      <c r="B4" s="255"/>
      <c r="D4" s="260"/>
      <c r="E4" s="259" t="s">
        <v>1137</v>
      </c>
      <c r="J4" t="s">
        <v>14</v>
      </c>
      <c r="M4" s="2" t="s">
        <v>15</v>
      </c>
      <c r="N4" s="2" t="s">
        <v>16</v>
      </c>
      <c r="U4" s="2" t="s">
        <v>313</v>
      </c>
      <c r="W4" s="2" t="s">
        <v>341</v>
      </c>
      <c r="Y4" s="65" t="s">
        <v>359</v>
      </c>
      <c r="AA4" s="65" t="s">
        <v>364</v>
      </c>
      <c r="AC4" s="2" t="s">
        <v>788</v>
      </c>
      <c r="AD4" s="2">
        <v>430</v>
      </c>
      <c r="AG4" s="7">
        <v>1917</v>
      </c>
      <c r="AH4" s="7" t="s">
        <v>1045</v>
      </c>
      <c r="AI4" s="7" t="s">
        <v>1045</v>
      </c>
    </row>
    <row r="5" spans="1:35" x14ac:dyDescent="0.3">
      <c r="A5" s="255"/>
      <c r="B5" s="255"/>
      <c r="D5" s="260"/>
      <c r="E5" s="259" t="s">
        <v>1138</v>
      </c>
      <c r="J5" t="s">
        <v>17</v>
      </c>
      <c r="M5" s="2" t="s">
        <v>18</v>
      </c>
      <c r="N5" s="2" t="s">
        <v>19</v>
      </c>
      <c r="U5" s="2" t="s">
        <v>314</v>
      </c>
      <c r="W5" s="2" t="s">
        <v>342</v>
      </c>
      <c r="Y5" s="67" t="s">
        <v>360</v>
      </c>
      <c r="AA5" s="66" t="s">
        <v>365</v>
      </c>
      <c r="AC5" s="2" t="s">
        <v>1020</v>
      </c>
      <c r="AD5" s="2">
        <v>185</v>
      </c>
      <c r="AG5" s="7">
        <v>1918</v>
      </c>
      <c r="AH5" s="7" t="s">
        <v>1046</v>
      </c>
      <c r="AI5" s="7" t="s">
        <v>1046</v>
      </c>
    </row>
    <row r="6" spans="1:35" x14ac:dyDescent="0.3">
      <c r="A6" s="255"/>
      <c r="B6" s="255"/>
      <c r="D6" s="260"/>
      <c r="E6" s="259" t="s">
        <v>1139</v>
      </c>
      <c r="J6" t="s">
        <v>21</v>
      </c>
      <c r="N6" s="2" t="s">
        <v>22</v>
      </c>
      <c r="U6" s="2" t="s">
        <v>315</v>
      </c>
      <c r="W6" s="2" t="s">
        <v>343</v>
      </c>
      <c r="AA6" s="65" t="s">
        <v>366</v>
      </c>
      <c r="AC6" s="2" t="s">
        <v>787</v>
      </c>
      <c r="AD6" s="2">
        <v>650</v>
      </c>
      <c r="AG6" s="7">
        <v>1919</v>
      </c>
      <c r="AH6" s="7" t="s">
        <v>1047</v>
      </c>
      <c r="AI6" s="7" t="s">
        <v>1047</v>
      </c>
    </row>
    <row r="7" spans="1:35" x14ac:dyDescent="0.3">
      <c r="A7" s="255"/>
      <c r="B7" s="255"/>
      <c r="D7" s="260"/>
      <c r="E7" s="259" t="s">
        <v>934</v>
      </c>
      <c r="J7" t="s">
        <v>24</v>
      </c>
      <c r="N7" s="2" t="s">
        <v>25</v>
      </c>
      <c r="W7" s="2" t="s">
        <v>344</v>
      </c>
      <c r="AA7" s="66" t="s">
        <v>367</v>
      </c>
      <c r="AC7" s="2" t="s">
        <v>786</v>
      </c>
      <c r="AD7" s="2">
        <v>185</v>
      </c>
      <c r="AG7" s="7">
        <v>1920</v>
      </c>
      <c r="AH7" s="7" t="s">
        <v>1048</v>
      </c>
      <c r="AI7" s="7" t="s">
        <v>1048</v>
      </c>
    </row>
    <row r="8" spans="1:35" x14ac:dyDescent="0.3">
      <c r="A8" s="255"/>
      <c r="B8" s="255"/>
      <c r="D8" s="260"/>
      <c r="E8" s="259" t="s">
        <v>1140</v>
      </c>
      <c r="J8" t="s">
        <v>26</v>
      </c>
      <c r="N8" s="2" t="s">
        <v>27</v>
      </c>
      <c r="W8" s="2" t="s">
        <v>345</v>
      </c>
      <c r="AA8" s="68" t="s">
        <v>368</v>
      </c>
      <c r="AC8" s="2" t="s">
        <v>445</v>
      </c>
      <c r="AD8" s="2">
        <v>185</v>
      </c>
      <c r="AG8" s="7">
        <v>1921</v>
      </c>
      <c r="AH8" s="7" t="s">
        <v>1049</v>
      </c>
      <c r="AI8" s="7" t="s">
        <v>1049</v>
      </c>
    </row>
    <row r="9" spans="1:35" x14ac:dyDescent="0.3">
      <c r="A9" s="255"/>
      <c r="B9" s="255"/>
      <c r="D9" s="260"/>
      <c r="E9" s="259" t="s">
        <v>1141</v>
      </c>
      <c r="J9" t="s">
        <v>29</v>
      </c>
      <c r="N9" s="2" t="s">
        <v>11</v>
      </c>
      <c r="W9" s="2" t="s">
        <v>346</v>
      </c>
      <c r="AG9" s="7">
        <v>1922</v>
      </c>
      <c r="AH9" s="7" t="s">
        <v>1050</v>
      </c>
      <c r="AI9" s="7" t="s">
        <v>1050</v>
      </c>
    </row>
    <row r="10" spans="1:35" x14ac:dyDescent="0.3">
      <c r="A10" s="255"/>
      <c r="B10" s="255"/>
      <c r="D10" s="260"/>
      <c r="E10" s="259" t="s">
        <v>1142</v>
      </c>
      <c r="J10" t="s">
        <v>32</v>
      </c>
      <c r="W10" s="2" t="s">
        <v>347</v>
      </c>
      <c r="AG10" s="7">
        <v>1923</v>
      </c>
      <c r="AH10" s="7" t="s">
        <v>1051</v>
      </c>
      <c r="AI10" s="7" t="s">
        <v>1051</v>
      </c>
    </row>
    <row r="11" spans="1:35" x14ac:dyDescent="0.3">
      <c r="A11" s="255"/>
      <c r="B11" s="255"/>
      <c r="D11" s="260"/>
      <c r="E11" s="259" t="s">
        <v>1328</v>
      </c>
      <c r="J11" t="s">
        <v>1394</v>
      </c>
      <c r="W11" s="2" t="s">
        <v>348</v>
      </c>
      <c r="AG11" s="7">
        <v>1924</v>
      </c>
      <c r="AH11" s="7">
        <v>10</v>
      </c>
      <c r="AI11" s="7">
        <v>10</v>
      </c>
    </row>
    <row r="12" spans="1:35" x14ac:dyDescent="0.3">
      <c r="A12" s="255"/>
      <c r="B12" s="255"/>
      <c r="D12" s="260"/>
      <c r="E12" s="259" t="s">
        <v>935</v>
      </c>
      <c r="J12" t="s">
        <v>1395</v>
      </c>
      <c r="W12" s="2" t="s">
        <v>9</v>
      </c>
      <c r="AG12" s="7">
        <v>1925</v>
      </c>
      <c r="AH12" s="7">
        <v>11</v>
      </c>
      <c r="AI12" s="7">
        <v>11</v>
      </c>
    </row>
    <row r="13" spans="1:35" x14ac:dyDescent="0.3">
      <c r="A13" s="255"/>
      <c r="B13" s="255"/>
      <c r="D13" s="260"/>
      <c r="E13" s="259" t="s">
        <v>1143</v>
      </c>
      <c r="J13" t="s">
        <v>34</v>
      </c>
      <c r="W13" s="2" t="s">
        <v>349</v>
      </c>
      <c r="AG13" s="7">
        <v>1926</v>
      </c>
      <c r="AH13" s="7">
        <v>12</v>
      </c>
      <c r="AI13" s="7">
        <v>12</v>
      </c>
    </row>
    <row r="14" spans="1:35" x14ac:dyDescent="0.3">
      <c r="A14" s="255"/>
      <c r="B14" s="255"/>
      <c r="D14" s="260"/>
      <c r="E14" s="259" t="s">
        <v>1144</v>
      </c>
      <c r="J14" t="s">
        <v>35</v>
      </c>
      <c r="W14" s="2" t="s">
        <v>350</v>
      </c>
      <c r="AG14" s="7">
        <v>1927</v>
      </c>
      <c r="AH14" s="7"/>
      <c r="AI14" s="7">
        <v>13</v>
      </c>
    </row>
    <row r="15" spans="1:35" x14ac:dyDescent="0.3">
      <c r="A15" s="255"/>
      <c r="B15" s="255"/>
      <c r="D15" s="260"/>
      <c r="E15" s="259" t="s">
        <v>1145</v>
      </c>
      <c r="J15" t="s">
        <v>37</v>
      </c>
      <c r="W15" s="2" t="s">
        <v>351</v>
      </c>
      <c r="AG15" s="7">
        <v>1928</v>
      </c>
      <c r="AH15" s="7"/>
      <c r="AI15" s="7">
        <v>14</v>
      </c>
    </row>
    <row r="16" spans="1:35" x14ac:dyDescent="0.3">
      <c r="A16" s="255"/>
      <c r="B16" s="255"/>
      <c r="D16" s="260"/>
      <c r="E16" s="259" t="s">
        <v>1146</v>
      </c>
      <c r="J16" t="s">
        <v>38</v>
      </c>
      <c r="AG16" s="7">
        <v>1929</v>
      </c>
      <c r="AH16" s="7"/>
      <c r="AI16" s="7">
        <v>15</v>
      </c>
    </row>
    <row r="17" spans="1:35" x14ac:dyDescent="0.3">
      <c r="A17" s="255"/>
      <c r="B17" s="255"/>
      <c r="D17" s="260"/>
      <c r="E17" s="259" t="s">
        <v>936</v>
      </c>
      <c r="J17" t="s">
        <v>40</v>
      </c>
      <c r="AG17" s="7">
        <v>1930</v>
      </c>
      <c r="AH17" s="7"/>
      <c r="AI17" s="7">
        <v>16</v>
      </c>
    </row>
    <row r="18" spans="1:35" x14ac:dyDescent="0.3">
      <c r="A18" s="255"/>
      <c r="B18" s="255"/>
      <c r="D18" s="260"/>
      <c r="E18" s="259" t="s">
        <v>1147</v>
      </c>
      <c r="J18" t="s">
        <v>41</v>
      </c>
      <c r="AG18" s="7">
        <v>1931</v>
      </c>
      <c r="AH18" s="7"/>
      <c r="AI18" s="7">
        <v>17</v>
      </c>
    </row>
    <row r="19" spans="1:35" x14ac:dyDescent="0.3">
      <c r="A19" s="255"/>
      <c r="B19" s="255"/>
      <c r="D19" s="260"/>
      <c r="E19" s="259" t="s">
        <v>1148</v>
      </c>
      <c r="J19" t="s">
        <v>43</v>
      </c>
      <c r="AG19" s="7">
        <v>1932</v>
      </c>
      <c r="AH19" s="7"/>
      <c r="AI19" s="7">
        <v>18</v>
      </c>
    </row>
    <row r="20" spans="1:35" x14ac:dyDescent="0.3">
      <c r="A20" s="255"/>
      <c r="B20" s="255"/>
      <c r="D20" s="260"/>
      <c r="E20" s="259" t="s">
        <v>1149</v>
      </c>
      <c r="J20" t="s">
        <v>45</v>
      </c>
      <c r="AG20" s="7">
        <v>1933</v>
      </c>
      <c r="AH20" s="7"/>
      <c r="AI20" s="7">
        <v>19</v>
      </c>
    </row>
    <row r="21" spans="1:35" x14ac:dyDescent="0.3">
      <c r="A21" s="255"/>
      <c r="B21" s="255"/>
      <c r="D21" s="260"/>
      <c r="E21" s="259" t="s">
        <v>1150</v>
      </c>
      <c r="J21" t="s">
        <v>47</v>
      </c>
      <c r="AG21" s="7">
        <v>1934</v>
      </c>
      <c r="AH21" s="7"/>
      <c r="AI21" s="7">
        <v>20</v>
      </c>
    </row>
    <row r="22" spans="1:35" x14ac:dyDescent="0.3">
      <c r="A22" s="255"/>
      <c r="B22" s="255"/>
      <c r="D22" s="260"/>
      <c r="E22" s="259" t="s">
        <v>1329</v>
      </c>
      <c r="J22" t="s">
        <v>49</v>
      </c>
      <c r="AG22" s="7">
        <v>1935</v>
      </c>
      <c r="AH22" s="7"/>
      <c r="AI22" s="7">
        <v>21</v>
      </c>
    </row>
    <row r="23" spans="1:35" x14ac:dyDescent="0.3">
      <c r="A23" s="255"/>
      <c r="B23" s="255"/>
      <c r="D23" s="260"/>
      <c r="E23" s="259" t="s">
        <v>1314</v>
      </c>
      <c r="J23" t="s">
        <v>51</v>
      </c>
      <c r="AG23" s="7">
        <v>1936</v>
      </c>
      <c r="AH23" s="7"/>
      <c r="AI23" s="7">
        <v>22</v>
      </c>
    </row>
    <row r="24" spans="1:35" x14ac:dyDescent="0.3">
      <c r="A24" s="255"/>
      <c r="B24" s="255"/>
      <c r="D24" s="260"/>
      <c r="E24" s="259" t="s">
        <v>1151</v>
      </c>
      <c r="J24" t="s">
        <v>53</v>
      </c>
      <c r="AG24" s="7">
        <v>1937</v>
      </c>
      <c r="AH24" s="7"/>
      <c r="AI24" s="7">
        <v>23</v>
      </c>
    </row>
    <row r="25" spans="1:35" x14ac:dyDescent="0.3">
      <c r="A25" s="255"/>
      <c r="B25" s="255"/>
      <c r="D25" s="260"/>
      <c r="E25" s="259" t="s">
        <v>1330</v>
      </c>
      <c r="J25" t="s">
        <v>55</v>
      </c>
      <c r="AG25" s="7">
        <v>1938</v>
      </c>
      <c r="AH25" s="7"/>
      <c r="AI25" s="7">
        <v>24</v>
      </c>
    </row>
    <row r="26" spans="1:35" x14ac:dyDescent="0.3">
      <c r="A26" s="255"/>
      <c r="B26" s="255"/>
      <c r="D26" s="260"/>
      <c r="E26" s="259" t="s">
        <v>1152</v>
      </c>
      <c r="J26" t="s">
        <v>309</v>
      </c>
      <c r="AG26" s="7">
        <v>1939</v>
      </c>
      <c r="AH26" s="7"/>
      <c r="AI26" s="7">
        <v>25</v>
      </c>
    </row>
    <row r="27" spans="1:35" x14ac:dyDescent="0.3">
      <c r="A27" s="255"/>
      <c r="B27" s="255"/>
      <c r="D27" s="260"/>
      <c r="E27" s="259" t="s">
        <v>937</v>
      </c>
      <c r="J27" t="s">
        <v>310</v>
      </c>
      <c r="AG27" s="7">
        <v>1940</v>
      </c>
      <c r="AH27" s="7"/>
      <c r="AI27" s="7">
        <v>26</v>
      </c>
    </row>
    <row r="28" spans="1:35" x14ac:dyDescent="0.3">
      <c r="A28" s="255"/>
      <c r="B28" s="255"/>
      <c r="D28" s="260"/>
      <c r="E28" s="259" t="s">
        <v>1153</v>
      </c>
      <c r="J28" t="s">
        <v>61</v>
      </c>
      <c r="AG28" s="7">
        <v>1941</v>
      </c>
      <c r="AH28" s="7"/>
      <c r="AI28" s="7">
        <v>27</v>
      </c>
    </row>
    <row r="29" spans="1:35" x14ac:dyDescent="0.3">
      <c r="A29" s="255"/>
      <c r="B29" s="255"/>
      <c r="D29" s="260"/>
      <c r="E29" s="259" t="s">
        <v>1331</v>
      </c>
      <c r="J29" t="s">
        <v>63</v>
      </c>
      <c r="AG29" s="7">
        <v>1942</v>
      </c>
      <c r="AH29" s="7"/>
      <c r="AI29" s="7">
        <v>28</v>
      </c>
    </row>
    <row r="30" spans="1:35" x14ac:dyDescent="0.3">
      <c r="A30" s="255"/>
      <c r="B30" s="255"/>
      <c r="D30" s="260"/>
      <c r="E30" s="259" t="s">
        <v>1332</v>
      </c>
      <c r="J30" t="s">
        <v>65</v>
      </c>
      <c r="AG30" s="7">
        <v>1943</v>
      </c>
      <c r="AH30" s="7"/>
      <c r="AI30" s="7">
        <v>29</v>
      </c>
    </row>
    <row r="31" spans="1:35" x14ac:dyDescent="0.3">
      <c r="A31" s="255"/>
      <c r="B31" s="255"/>
      <c r="D31" s="260"/>
      <c r="E31" s="259" t="s">
        <v>1154</v>
      </c>
      <c r="J31" t="s">
        <v>67</v>
      </c>
      <c r="AG31" s="7">
        <v>1944</v>
      </c>
      <c r="AH31" s="7"/>
      <c r="AI31" s="7">
        <v>30</v>
      </c>
    </row>
    <row r="32" spans="1:35" x14ac:dyDescent="0.3">
      <c r="A32" s="255"/>
      <c r="B32" s="255"/>
      <c r="D32" s="260"/>
      <c r="E32" s="259" t="s">
        <v>1155</v>
      </c>
      <c r="J32" t="s">
        <v>69</v>
      </c>
      <c r="AG32" s="7">
        <v>1945</v>
      </c>
      <c r="AH32" s="7"/>
      <c r="AI32" s="7">
        <v>31</v>
      </c>
    </row>
    <row r="33" spans="1:35" x14ac:dyDescent="0.3">
      <c r="A33" s="255"/>
      <c r="B33" s="255"/>
      <c r="D33" s="260"/>
      <c r="E33" s="259" t="s">
        <v>1156</v>
      </c>
      <c r="J33" t="s">
        <v>70</v>
      </c>
      <c r="AG33" s="7">
        <v>1946</v>
      </c>
      <c r="AH33" s="7"/>
      <c r="AI33" s="7"/>
    </row>
    <row r="34" spans="1:35" x14ac:dyDescent="0.3">
      <c r="A34" s="255"/>
      <c r="B34" s="255"/>
      <c r="D34" s="260"/>
      <c r="E34" s="259" t="s">
        <v>1157</v>
      </c>
      <c r="J34" t="s">
        <v>71</v>
      </c>
      <c r="AG34" s="7">
        <v>1947</v>
      </c>
      <c r="AH34" s="7"/>
      <c r="AI34" s="7"/>
    </row>
    <row r="35" spans="1:35" x14ac:dyDescent="0.3">
      <c r="A35" s="255"/>
      <c r="B35" s="255"/>
      <c r="D35" s="260"/>
      <c r="E35" s="259" t="s">
        <v>2015</v>
      </c>
      <c r="J35" t="s">
        <v>72</v>
      </c>
      <c r="AG35" s="7">
        <v>1948</v>
      </c>
      <c r="AH35" s="7"/>
      <c r="AI35" s="7"/>
    </row>
    <row r="36" spans="1:35" x14ac:dyDescent="0.3">
      <c r="A36" s="255"/>
      <c r="B36" s="255"/>
      <c r="D36" s="260"/>
      <c r="E36" s="259" t="s">
        <v>1158</v>
      </c>
      <c r="J36" t="s">
        <v>73</v>
      </c>
      <c r="AG36" s="7">
        <v>1949</v>
      </c>
      <c r="AH36" s="7"/>
      <c r="AI36" s="7"/>
    </row>
    <row r="37" spans="1:35" x14ac:dyDescent="0.3">
      <c r="A37" s="255"/>
      <c r="B37" s="255"/>
      <c r="D37" s="260"/>
      <c r="E37" s="259" t="s">
        <v>1159</v>
      </c>
      <c r="J37" t="s">
        <v>74</v>
      </c>
      <c r="AG37" s="7">
        <v>1950</v>
      </c>
      <c r="AH37" s="7"/>
      <c r="AI37" s="7"/>
    </row>
    <row r="38" spans="1:35" x14ac:dyDescent="0.3">
      <c r="A38" s="255"/>
      <c r="B38" s="255"/>
      <c r="D38" s="260"/>
      <c r="E38" s="259" t="s">
        <v>938</v>
      </c>
      <c r="J38" t="s">
        <v>75</v>
      </c>
      <c r="AG38" s="7">
        <v>1951</v>
      </c>
      <c r="AH38" s="7"/>
      <c r="AI38" s="7"/>
    </row>
    <row r="39" spans="1:35" x14ac:dyDescent="0.3">
      <c r="A39" s="255"/>
      <c r="B39" s="255"/>
      <c r="D39" s="260"/>
      <c r="E39" s="259" t="s">
        <v>1160</v>
      </c>
      <c r="J39" t="s">
        <v>76</v>
      </c>
      <c r="AG39" s="7">
        <v>1952</v>
      </c>
      <c r="AH39" s="7"/>
      <c r="AI39" s="7"/>
    </row>
    <row r="40" spans="1:35" x14ac:dyDescent="0.3">
      <c r="A40" s="255"/>
      <c r="B40" s="255"/>
      <c r="D40" s="260"/>
      <c r="E40" s="259" t="s">
        <v>1161</v>
      </c>
      <c r="J40" t="s">
        <v>77</v>
      </c>
      <c r="AG40" s="7">
        <v>1953</v>
      </c>
      <c r="AH40" s="7"/>
      <c r="AI40" s="7"/>
    </row>
    <row r="41" spans="1:35" x14ac:dyDescent="0.3">
      <c r="A41" s="255"/>
      <c r="B41" s="255"/>
      <c r="D41" s="260"/>
      <c r="E41" s="259" t="s">
        <v>1162</v>
      </c>
      <c r="J41" t="s">
        <v>78</v>
      </c>
      <c r="AG41" s="7">
        <v>1954</v>
      </c>
      <c r="AH41" s="7"/>
      <c r="AI41" s="7"/>
    </row>
    <row r="42" spans="1:35" x14ac:dyDescent="0.3">
      <c r="A42" s="255"/>
      <c r="B42" s="255"/>
      <c r="D42" s="260"/>
      <c r="E42" s="259" t="s">
        <v>1163</v>
      </c>
      <c r="J42" t="s">
        <v>80</v>
      </c>
      <c r="AG42" s="7">
        <v>1955</v>
      </c>
      <c r="AH42" s="7"/>
      <c r="AI42" s="7"/>
    </row>
    <row r="43" spans="1:35" x14ac:dyDescent="0.3">
      <c r="A43" s="255"/>
      <c r="B43" s="255"/>
      <c r="D43" s="260"/>
      <c r="E43" s="259" t="s">
        <v>1164</v>
      </c>
      <c r="J43" t="s">
        <v>81</v>
      </c>
      <c r="AG43" s="7">
        <v>1956</v>
      </c>
      <c r="AH43" s="7"/>
      <c r="AI43" s="7"/>
    </row>
    <row r="44" spans="1:35" ht="17.25" customHeight="1" x14ac:dyDescent="0.3">
      <c r="A44" s="255"/>
      <c r="B44" s="255"/>
      <c r="D44" s="260"/>
      <c r="E44" s="259" t="s">
        <v>939</v>
      </c>
      <c r="J44" t="s">
        <v>83</v>
      </c>
      <c r="AG44" s="7">
        <v>1957</v>
      </c>
      <c r="AH44" s="7"/>
      <c r="AI44" s="7"/>
    </row>
    <row r="45" spans="1:35" x14ac:dyDescent="0.3">
      <c r="A45" s="255"/>
      <c r="B45" s="255"/>
      <c r="D45" s="260"/>
      <c r="E45" s="259" t="s">
        <v>1165</v>
      </c>
      <c r="J45" t="s">
        <v>84</v>
      </c>
      <c r="AG45" s="7">
        <v>1958</v>
      </c>
      <c r="AH45" s="7"/>
      <c r="AI45" s="7"/>
    </row>
    <row r="46" spans="1:35" x14ac:dyDescent="0.3">
      <c r="A46" s="255"/>
      <c r="B46" s="255"/>
      <c r="D46" s="260"/>
      <c r="E46" s="259" t="s">
        <v>1166</v>
      </c>
      <c r="J46" t="s">
        <v>85</v>
      </c>
      <c r="AG46" s="7">
        <v>1959</v>
      </c>
      <c r="AH46" s="7"/>
      <c r="AI46" s="7"/>
    </row>
    <row r="47" spans="1:35" x14ac:dyDescent="0.3">
      <c r="A47" s="255"/>
      <c r="B47" s="255"/>
      <c r="D47" s="260"/>
      <c r="E47" s="259" t="s">
        <v>2016</v>
      </c>
      <c r="J47" t="s">
        <v>86</v>
      </c>
      <c r="AG47" s="7">
        <v>1960</v>
      </c>
      <c r="AH47" s="7"/>
      <c r="AI47" s="7"/>
    </row>
    <row r="48" spans="1:35" x14ac:dyDescent="0.3">
      <c r="A48" s="255"/>
      <c r="B48" s="255"/>
      <c r="D48" s="260"/>
      <c r="E48" s="259" t="s">
        <v>1167</v>
      </c>
      <c r="J48" t="s">
        <v>87</v>
      </c>
      <c r="AG48" s="7">
        <v>1961</v>
      </c>
      <c r="AH48" s="7"/>
      <c r="AI48" s="7"/>
    </row>
    <row r="49" spans="1:35" x14ac:dyDescent="0.3">
      <c r="A49" s="255"/>
      <c r="B49" s="255"/>
      <c r="D49" s="260"/>
      <c r="E49" s="259" t="s">
        <v>1168</v>
      </c>
      <c r="J49" t="s">
        <v>88</v>
      </c>
      <c r="AG49" s="7">
        <v>1962</v>
      </c>
      <c r="AH49" s="7"/>
      <c r="AI49" s="7"/>
    </row>
    <row r="50" spans="1:35" x14ac:dyDescent="0.3">
      <c r="A50" s="255"/>
      <c r="B50" s="255"/>
      <c r="D50" s="260"/>
      <c r="E50" s="259" t="s">
        <v>940</v>
      </c>
      <c r="J50" t="s">
        <v>89</v>
      </c>
      <c r="AG50" s="7">
        <v>1963</v>
      </c>
      <c r="AH50" s="7"/>
      <c r="AI50" s="7"/>
    </row>
    <row r="51" spans="1:35" x14ac:dyDescent="0.3">
      <c r="A51" s="255"/>
      <c r="B51" s="255"/>
      <c r="D51" s="260"/>
      <c r="E51" s="259" t="s">
        <v>1169</v>
      </c>
      <c r="J51" t="s">
        <v>90</v>
      </c>
      <c r="AG51" s="7">
        <v>1964</v>
      </c>
      <c r="AH51" s="7"/>
      <c r="AI51" s="7"/>
    </row>
    <row r="52" spans="1:35" x14ac:dyDescent="0.3">
      <c r="A52" s="255"/>
      <c r="B52" s="255"/>
      <c r="D52" s="260"/>
      <c r="E52" s="259" t="s">
        <v>1170</v>
      </c>
      <c r="J52" t="s">
        <v>91</v>
      </c>
      <c r="AG52" s="7">
        <v>1965</v>
      </c>
      <c r="AH52" s="7"/>
      <c r="AI52" s="7"/>
    </row>
    <row r="53" spans="1:35" x14ac:dyDescent="0.3">
      <c r="A53" s="255"/>
      <c r="B53" s="255"/>
      <c r="D53" s="260"/>
      <c r="E53" s="259" t="s">
        <v>1171</v>
      </c>
      <c r="J53" s="2" t="s">
        <v>11</v>
      </c>
      <c r="AG53" s="7">
        <v>1966</v>
      </c>
      <c r="AH53" s="7"/>
      <c r="AI53" s="7"/>
    </row>
    <row r="54" spans="1:35" x14ac:dyDescent="0.3">
      <c r="A54" s="255"/>
      <c r="B54" s="255"/>
      <c r="D54" s="260"/>
      <c r="E54" s="259" t="s">
        <v>1172</v>
      </c>
      <c r="J54" s="2" t="s">
        <v>1120</v>
      </c>
      <c r="AG54" s="7">
        <v>1967</v>
      </c>
      <c r="AH54" s="7"/>
      <c r="AI54" s="7"/>
    </row>
    <row r="55" spans="1:35" x14ac:dyDescent="0.3">
      <c r="A55" s="255"/>
      <c r="B55" s="255"/>
      <c r="D55" s="260"/>
      <c r="E55" s="259" t="s">
        <v>1173</v>
      </c>
      <c r="AG55" s="7">
        <v>1968</v>
      </c>
      <c r="AH55" s="7"/>
      <c r="AI55" s="7"/>
    </row>
    <row r="56" spans="1:35" x14ac:dyDescent="0.3">
      <c r="A56" s="255"/>
      <c r="B56" s="255"/>
      <c r="D56" s="260"/>
      <c r="E56" s="259" t="s">
        <v>1333</v>
      </c>
      <c r="AG56" s="7">
        <v>1969</v>
      </c>
      <c r="AH56" s="7"/>
      <c r="AI56" s="7"/>
    </row>
    <row r="57" spans="1:35" x14ac:dyDescent="0.3">
      <c r="A57" s="255"/>
      <c r="B57" s="255"/>
      <c r="D57" s="260"/>
      <c r="E57" s="259" t="s">
        <v>2017</v>
      </c>
      <c r="AG57" s="7">
        <v>1970</v>
      </c>
      <c r="AH57" s="7"/>
      <c r="AI57" s="7"/>
    </row>
    <row r="58" spans="1:35" x14ac:dyDescent="0.3">
      <c r="A58" s="255"/>
      <c r="B58" s="255"/>
      <c r="D58" s="260"/>
      <c r="E58" s="259" t="s">
        <v>941</v>
      </c>
      <c r="AG58" s="7">
        <v>1971</v>
      </c>
      <c r="AH58" s="7"/>
      <c r="AI58" s="7"/>
    </row>
    <row r="59" spans="1:35" x14ac:dyDescent="0.3">
      <c r="A59" s="255"/>
      <c r="B59" s="255"/>
      <c r="D59" s="260"/>
      <c r="E59" s="259" t="s">
        <v>1174</v>
      </c>
      <c r="AG59" s="7">
        <v>1972</v>
      </c>
      <c r="AH59" s="7"/>
      <c r="AI59" s="7"/>
    </row>
    <row r="60" spans="1:35" x14ac:dyDescent="0.3">
      <c r="A60" s="255"/>
      <c r="B60" s="255"/>
      <c r="D60" s="260"/>
      <c r="E60" s="259" t="s">
        <v>1175</v>
      </c>
      <c r="AG60" s="7">
        <v>1973</v>
      </c>
      <c r="AH60" s="7"/>
      <c r="AI60" s="7"/>
    </row>
    <row r="61" spans="1:35" x14ac:dyDescent="0.3">
      <c r="A61" s="255"/>
      <c r="B61" s="255"/>
      <c r="D61" s="260"/>
      <c r="E61" s="259" t="s">
        <v>1176</v>
      </c>
      <c r="AG61" s="7">
        <v>1974</v>
      </c>
      <c r="AH61" s="7"/>
      <c r="AI61" s="7"/>
    </row>
    <row r="62" spans="1:35" x14ac:dyDescent="0.3">
      <c r="A62" s="255"/>
      <c r="B62" s="255"/>
      <c r="D62" s="260"/>
      <c r="E62" s="259" t="s">
        <v>942</v>
      </c>
      <c r="AG62" s="7">
        <v>1975</v>
      </c>
      <c r="AH62" s="7"/>
      <c r="AI62" s="7"/>
    </row>
    <row r="63" spans="1:35" x14ac:dyDescent="0.3">
      <c r="A63" s="255"/>
      <c r="B63" s="255"/>
      <c r="D63" s="260"/>
      <c r="E63" s="259" t="s">
        <v>1177</v>
      </c>
      <c r="AG63" s="7">
        <v>1976</v>
      </c>
      <c r="AH63" s="7"/>
      <c r="AI63" s="7"/>
    </row>
    <row r="64" spans="1:35" x14ac:dyDescent="0.3">
      <c r="A64" s="255"/>
      <c r="B64" s="255"/>
      <c r="D64" s="260"/>
      <c r="E64" s="259" t="s">
        <v>1178</v>
      </c>
      <c r="AG64" s="7">
        <v>1977</v>
      </c>
      <c r="AH64" s="7"/>
      <c r="AI64" s="7"/>
    </row>
    <row r="65" spans="1:35" x14ac:dyDescent="0.3">
      <c r="A65" s="255"/>
      <c r="B65" s="255"/>
      <c r="D65" s="260"/>
      <c r="E65" s="259" t="s">
        <v>1179</v>
      </c>
      <c r="AG65" s="7">
        <v>1978</v>
      </c>
      <c r="AH65" s="7"/>
      <c r="AI65" s="7"/>
    </row>
    <row r="66" spans="1:35" x14ac:dyDescent="0.3">
      <c r="A66" s="255"/>
      <c r="B66" s="255"/>
      <c r="D66" s="260"/>
      <c r="E66" s="259" t="s">
        <v>1180</v>
      </c>
      <c r="AG66" s="7">
        <v>1979</v>
      </c>
      <c r="AH66" s="7"/>
      <c r="AI66" s="7"/>
    </row>
    <row r="67" spans="1:35" x14ac:dyDescent="0.3">
      <c r="A67" s="255"/>
      <c r="B67" s="255"/>
      <c r="D67" s="260"/>
      <c r="E67" s="259" t="s">
        <v>1181</v>
      </c>
      <c r="AG67" s="7">
        <v>1980</v>
      </c>
      <c r="AH67" s="7"/>
      <c r="AI67" s="7"/>
    </row>
    <row r="68" spans="1:35" x14ac:dyDescent="0.3">
      <c r="A68" s="255"/>
      <c r="B68" s="255"/>
      <c r="D68" s="260"/>
      <c r="E68" s="259" t="s">
        <v>1182</v>
      </c>
      <c r="AG68" s="7">
        <v>1981</v>
      </c>
      <c r="AH68" s="7"/>
      <c r="AI68" s="7"/>
    </row>
    <row r="69" spans="1:35" x14ac:dyDescent="0.3">
      <c r="A69" s="255"/>
      <c r="B69" s="255"/>
      <c r="D69" s="260"/>
      <c r="E69" s="259" t="s">
        <v>1183</v>
      </c>
      <c r="AG69" s="7">
        <v>1982</v>
      </c>
      <c r="AH69" s="7"/>
      <c r="AI69" s="7"/>
    </row>
    <row r="70" spans="1:35" x14ac:dyDescent="0.3">
      <c r="A70" s="255"/>
      <c r="B70" s="255"/>
      <c r="D70" s="260"/>
      <c r="E70" s="259" t="s">
        <v>1184</v>
      </c>
      <c r="AG70" s="7">
        <v>1983</v>
      </c>
      <c r="AH70" s="7"/>
      <c r="AI70" s="7"/>
    </row>
    <row r="71" spans="1:35" x14ac:dyDescent="0.3">
      <c r="A71" s="255"/>
      <c r="B71" s="255"/>
      <c r="D71" s="260"/>
      <c r="E71" s="259" t="s">
        <v>943</v>
      </c>
      <c r="AG71" s="7">
        <v>1984</v>
      </c>
      <c r="AH71" s="7"/>
      <c r="AI71" s="7"/>
    </row>
    <row r="72" spans="1:35" x14ac:dyDescent="0.3">
      <c r="A72" s="255"/>
      <c r="B72" s="255"/>
      <c r="D72" s="260"/>
      <c r="E72" s="259" t="s">
        <v>1185</v>
      </c>
      <c r="AG72" s="7">
        <v>1985</v>
      </c>
      <c r="AH72" s="7"/>
      <c r="AI72" s="7"/>
    </row>
    <row r="73" spans="1:35" x14ac:dyDescent="0.3">
      <c r="A73" s="255"/>
      <c r="B73" s="255"/>
      <c r="D73" s="260"/>
      <c r="E73" s="259" t="s">
        <v>1186</v>
      </c>
      <c r="AG73" s="7">
        <v>1986</v>
      </c>
      <c r="AH73" s="7"/>
      <c r="AI73" s="7"/>
    </row>
    <row r="74" spans="1:35" x14ac:dyDescent="0.3">
      <c r="A74" s="255"/>
      <c r="B74" s="255"/>
      <c r="D74" s="260"/>
      <c r="E74" s="259" t="s">
        <v>1334</v>
      </c>
      <c r="AG74" s="7">
        <v>1987</v>
      </c>
      <c r="AH74" s="7"/>
      <c r="AI74" s="7"/>
    </row>
    <row r="75" spans="1:35" x14ac:dyDescent="0.3">
      <c r="A75" s="255"/>
      <c r="B75" s="255"/>
      <c r="D75" s="260"/>
      <c r="E75" s="259" t="s">
        <v>1187</v>
      </c>
      <c r="AG75" s="7">
        <v>1988</v>
      </c>
      <c r="AH75" s="7"/>
      <c r="AI75" s="7"/>
    </row>
    <row r="76" spans="1:35" x14ac:dyDescent="0.3">
      <c r="A76" s="255"/>
      <c r="B76" s="255"/>
      <c r="D76" s="260"/>
      <c r="E76" s="259" t="s">
        <v>1335</v>
      </c>
      <c r="AG76" s="7">
        <v>1989</v>
      </c>
      <c r="AH76" s="7"/>
      <c r="AI76" s="7"/>
    </row>
    <row r="77" spans="1:35" x14ac:dyDescent="0.3">
      <c r="A77" s="255"/>
      <c r="B77" s="255"/>
      <c r="D77" s="260"/>
      <c r="E77" s="259" t="s">
        <v>1188</v>
      </c>
      <c r="AG77" s="7">
        <v>1990</v>
      </c>
      <c r="AH77" s="7"/>
      <c r="AI77" s="7"/>
    </row>
    <row r="78" spans="1:35" x14ac:dyDescent="0.3">
      <c r="A78" s="255"/>
      <c r="B78" s="255"/>
      <c r="D78" s="260"/>
      <c r="E78" s="259" t="s">
        <v>944</v>
      </c>
      <c r="AG78" s="7">
        <v>1991</v>
      </c>
      <c r="AH78" s="7"/>
      <c r="AI78" s="7"/>
    </row>
    <row r="79" spans="1:35" x14ac:dyDescent="0.3">
      <c r="A79" s="255"/>
      <c r="B79" s="255"/>
      <c r="D79" s="260"/>
      <c r="E79" s="259" t="s">
        <v>945</v>
      </c>
      <c r="AG79" s="7">
        <v>1992</v>
      </c>
      <c r="AH79" s="7"/>
      <c r="AI79" s="7"/>
    </row>
    <row r="80" spans="1:35" x14ac:dyDescent="0.3">
      <c r="A80" s="255"/>
      <c r="B80" s="255"/>
      <c r="D80" s="260"/>
      <c r="E80" s="259" t="s">
        <v>1336</v>
      </c>
      <c r="AG80" s="7">
        <v>1993</v>
      </c>
      <c r="AH80" s="7"/>
      <c r="AI80" s="7"/>
    </row>
    <row r="81" spans="1:35" x14ac:dyDescent="0.3">
      <c r="A81" s="255"/>
      <c r="B81" s="255"/>
      <c r="D81" s="260"/>
      <c r="E81" s="259" t="s">
        <v>1189</v>
      </c>
      <c r="AG81" s="7">
        <v>1994</v>
      </c>
      <c r="AH81" s="7"/>
      <c r="AI81" s="7"/>
    </row>
    <row r="82" spans="1:35" x14ac:dyDescent="0.3">
      <c r="A82" s="255"/>
      <c r="B82" s="255"/>
      <c r="D82" s="260"/>
      <c r="E82" s="259" t="s">
        <v>1190</v>
      </c>
      <c r="AG82" s="7">
        <v>1995</v>
      </c>
      <c r="AH82" s="7"/>
      <c r="AI82" s="7"/>
    </row>
    <row r="83" spans="1:35" x14ac:dyDescent="0.3">
      <c r="A83" s="255"/>
      <c r="B83" s="255"/>
      <c r="D83" s="260"/>
      <c r="E83" s="259" t="s">
        <v>1191</v>
      </c>
      <c r="AG83" s="7">
        <v>1996</v>
      </c>
      <c r="AH83" s="7"/>
      <c r="AI83" s="7"/>
    </row>
    <row r="84" spans="1:35" x14ac:dyDescent="0.3">
      <c r="A84" s="255"/>
      <c r="B84" s="255"/>
      <c r="D84" s="260"/>
      <c r="E84" s="259" t="s">
        <v>1192</v>
      </c>
      <c r="AG84" s="7">
        <v>1997</v>
      </c>
      <c r="AH84" s="7"/>
      <c r="AI84" s="7"/>
    </row>
    <row r="85" spans="1:35" x14ac:dyDescent="0.3">
      <c r="A85" s="255"/>
      <c r="B85" s="255"/>
      <c r="D85" s="260"/>
      <c r="E85" s="259" t="s">
        <v>1337</v>
      </c>
      <c r="AG85" s="7">
        <v>1998</v>
      </c>
      <c r="AH85" s="7"/>
      <c r="AI85" s="7"/>
    </row>
    <row r="86" spans="1:35" x14ac:dyDescent="0.3">
      <c r="A86" s="255"/>
      <c r="B86" s="255"/>
      <c r="D86" s="260"/>
      <c r="E86" s="259" t="s">
        <v>1193</v>
      </c>
      <c r="AG86" s="7">
        <v>1999</v>
      </c>
      <c r="AH86" s="7"/>
      <c r="AI86" s="7"/>
    </row>
    <row r="87" spans="1:35" x14ac:dyDescent="0.3">
      <c r="A87" s="255"/>
      <c r="B87" s="255"/>
      <c r="D87" s="260"/>
      <c r="E87" s="259" t="s">
        <v>1194</v>
      </c>
      <c r="AG87" s="7">
        <v>2000</v>
      </c>
      <c r="AH87" s="7"/>
      <c r="AI87" s="7"/>
    </row>
    <row r="88" spans="1:35" x14ac:dyDescent="0.3">
      <c r="A88" s="255"/>
      <c r="B88" s="255"/>
      <c r="D88" s="260"/>
      <c r="E88" s="259" t="s">
        <v>1195</v>
      </c>
      <c r="AG88" s="7">
        <v>2001</v>
      </c>
      <c r="AH88" s="7"/>
      <c r="AI88" s="7"/>
    </row>
    <row r="89" spans="1:35" x14ac:dyDescent="0.3">
      <c r="A89" s="255"/>
      <c r="B89" s="255"/>
      <c r="D89" s="260"/>
      <c r="E89" s="259" t="s">
        <v>1196</v>
      </c>
      <c r="AG89" s="7">
        <v>2002</v>
      </c>
      <c r="AH89" s="7"/>
      <c r="AI89" s="7"/>
    </row>
    <row r="90" spans="1:35" x14ac:dyDescent="0.3">
      <c r="A90" s="255"/>
      <c r="B90" s="255"/>
      <c r="D90" s="260"/>
      <c r="E90" s="259" t="s">
        <v>2018</v>
      </c>
      <c r="AG90" s="7">
        <v>2003</v>
      </c>
      <c r="AH90" s="7"/>
      <c r="AI90" s="7"/>
    </row>
    <row r="91" spans="1:35" x14ac:dyDescent="0.3">
      <c r="A91" s="255"/>
      <c r="B91" s="255"/>
      <c r="D91" s="260"/>
      <c r="E91" s="259" t="s">
        <v>2019</v>
      </c>
      <c r="AG91" s="7">
        <v>2004</v>
      </c>
      <c r="AH91" s="7"/>
      <c r="AI91" s="7"/>
    </row>
    <row r="92" spans="1:35" x14ac:dyDescent="0.3">
      <c r="A92" s="255"/>
      <c r="B92" s="255"/>
      <c r="D92" s="260"/>
      <c r="E92" s="259" t="s">
        <v>2020</v>
      </c>
      <c r="AG92" s="7">
        <v>2005</v>
      </c>
      <c r="AH92" s="7"/>
      <c r="AI92" s="7"/>
    </row>
    <row r="93" spans="1:35" x14ac:dyDescent="0.3">
      <c r="A93" s="255"/>
      <c r="B93" s="255"/>
      <c r="D93" s="260"/>
      <c r="E93" s="259" t="s">
        <v>2021</v>
      </c>
      <c r="AG93" s="7">
        <v>2006</v>
      </c>
      <c r="AH93" s="7"/>
      <c r="AI93" s="7"/>
    </row>
    <row r="94" spans="1:35" x14ac:dyDescent="0.3">
      <c r="A94" s="255"/>
      <c r="B94" s="255"/>
      <c r="D94" s="260"/>
      <c r="E94" s="259" t="s">
        <v>1197</v>
      </c>
      <c r="AG94" s="7">
        <v>2007</v>
      </c>
      <c r="AH94" s="7"/>
      <c r="AI94" s="7"/>
    </row>
    <row r="95" spans="1:35" x14ac:dyDescent="0.3">
      <c r="A95" s="255"/>
      <c r="B95" s="255"/>
      <c r="D95" s="260"/>
      <c r="E95" s="259" t="s">
        <v>1198</v>
      </c>
      <c r="AG95" s="7">
        <v>2008</v>
      </c>
      <c r="AH95" s="7"/>
      <c r="AI95" s="7"/>
    </row>
    <row r="96" spans="1:35" x14ac:dyDescent="0.3">
      <c r="A96" s="255"/>
      <c r="B96" s="255"/>
      <c r="D96" s="260"/>
      <c r="E96" s="259" t="s">
        <v>1199</v>
      </c>
      <c r="AG96" s="7">
        <v>2009</v>
      </c>
      <c r="AH96" s="7"/>
      <c r="AI96" s="7"/>
    </row>
    <row r="97" spans="1:35" x14ac:dyDescent="0.3">
      <c r="A97" s="255"/>
      <c r="B97" s="255"/>
      <c r="D97" s="260"/>
      <c r="E97" s="259" t="s">
        <v>1200</v>
      </c>
      <c r="AG97" s="7">
        <v>2010</v>
      </c>
      <c r="AH97" s="7"/>
      <c r="AI97" s="7"/>
    </row>
    <row r="98" spans="1:35" x14ac:dyDescent="0.3">
      <c r="A98" s="255"/>
      <c r="B98" s="255"/>
      <c r="D98" s="260"/>
      <c r="E98" s="259" t="s">
        <v>1338</v>
      </c>
      <c r="AG98" s="7">
        <v>2011</v>
      </c>
      <c r="AH98" s="7"/>
      <c r="AI98" s="7"/>
    </row>
    <row r="99" spans="1:35" x14ac:dyDescent="0.3">
      <c r="A99" s="255"/>
      <c r="B99" s="255"/>
      <c r="D99" s="260"/>
      <c r="E99" s="259" t="s">
        <v>1201</v>
      </c>
      <c r="AG99" s="7">
        <v>2012</v>
      </c>
      <c r="AH99" s="7"/>
      <c r="AI99" s="7"/>
    </row>
    <row r="100" spans="1:35" x14ac:dyDescent="0.3">
      <c r="A100" s="255"/>
      <c r="B100" s="255"/>
      <c r="D100" s="260"/>
      <c r="E100" s="259" t="s">
        <v>1202</v>
      </c>
      <c r="AG100" s="7">
        <v>2013</v>
      </c>
      <c r="AH100" s="7"/>
      <c r="AI100" s="7"/>
    </row>
    <row r="101" spans="1:35" x14ac:dyDescent="0.3">
      <c r="A101" s="255"/>
      <c r="B101" s="255"/>
      <c r="D101" s="260"/>
      <c r="E101" s="259" t="s">
        <v>1203</v>
      </c>
      <c r="AG101" s="7">
        <v>2014</v>
      </c>
      <c r="AH101" s="7"/>
      <c r="AI101" s="7"/>
    </row>
    <row r="102" spans="1:35" x14ac:dyDescent="0.3">
      <c r="A102" s="255"/>
      <c r="B102" s="255"/>
      <c r="D102" s="260"/>
      <c r="E102" s="259" t="s">
        <v>1204</v>
      </c>
      <c r="AG102" s="7">
        <v>2015</v>
      </c>
      <c r="AH102" s="7"/>
      <c r="AI102" s="7"/>
    </row>
    <row r="103" spans="1:35" x14ac:dyDescent="0.3">
      <c r="A103" s="255"/>
      <c r="B103" s="255"/>
      <c r="D103" s="260"/>
      <c r="E103" s="259" t="s">
        <v>946</v>
      </c>
      <c r="AG103" s="7">
        <v>2016</v>
      </c>
      <c r="AH103" s="7"/>
      <c r="AI103" s="7"/>
    </row>
    <row r="104" spans="1:35" x14ac:dyDescent="0.3">
      <c r="A104" s="255"/>
      <c r="B104" s="255"/>
      <c r="D104" s="260"/>
      <c r="E104" s="259" t="s">
        <v>1205</v>
      </c>
      <c r="AG104" s="7">
        <v>2017</v>
      </c>
      <c r="AH104" s="7"/>
      <c r="AI104" s="7"/>
    </row>
    <row r="105" spans="1:35" x14ac:dyDescent="0.3">
      <c r="A105" s="255"/>
      <c r="B105" s="255"/>
      <c r="E105" s="259" t="s">
        <v>1206</v>
      </c>
      <c r="AG105" s="7">
        <v>2018</v>
      </c>
      <c r="AH105" s="7"/>
      <c r="AI105" s="7"/>
    </row>
    <row r="106" spans="1:35" x14ac:dyDescent="0.3">
      <c r="A106" s="255"/>
      <c r="B106" s="255"/>
      <c r="E106" s="259" t="s">
        <v>1207</v>
      </c>
      <c r="AG106" s="7">
        <v>2019</v>
      </c>
      <c r="AH106" s="7"/>
      <c r="AI106" s="7"/>
    </row>
    <row r="107" spans="1:35" x14ac:dyDescent="0.3">
      <c r="A107" s="255"/>
      <c r="B107" s="255"/>
      <c r="E107" s="259" t="s">
        <v>1208</v>
      </c>
      <c r="AG107" s="7">
        <v>2020</v>
      </c>
      <c r="AH107" s="7"/>
      <c r="AI107" s="7"/>
    </row>
    <row r="108" spans="1:35" x14ac:dyDescent="0.3">
      <c r="A108" s="255"/>
      <c r="B108" s="255"/>
      <c r="E108" s="259" t="s">
        <v>1209</v>
      </c>
      <c r="AG108" s="7">
        <v>2021</v>
      </c>
      <c r="AH108" s="7"/>
      <c r="AI108" s="7"/>
    </row>
    <row r="109" spans="1:35" x14ac:dyDescent="0.3">
      <c r="A109" s="255"/>
      <c r="B109" s="255"/>
      <c r="E109" s="259" t="s">
        <v>1315</v>
      </c>
      <c r="AG109" s="7">
        <v>2022</v>
      </c>
      <c r="AH109" s="7"/>
      <c r="AI109" s="7"/>
    </row>
    <row r="110" spans="1:35" x14ac:dyDescent="0.3">
      <c r="A110" s="255"/>
      <c r="B110" s="255"/>
      <c r="E110" s="259" t="s">
        <v>947</v>
      </c>
      <c r="AG110" s="7">
        <v>2023</v>
      </c>
      <c r="AH110" s="7"/>
      <c r="AI110" s="7"/>
    </row>
    <row r="111" spans="1:35" x14ac:dyDescent="0.3">
      <c r="A111" s="255"/>
      <c r="B111" s="255"/>
      <c r="E111" s="259" t="s">
        <v>1210</v>
      </c>
      <c r="AG111" s="7">
        <v>2024</v>
      </c>
      <c r="AH111" s="7"/>
      <c r="AI111" s="7"/>
    </row>
    <row r="112" spans="1:35" x14ac:dyDescent="0.3">
      <c r="A112" s="255"/>
      <c r="B112" s="255"/>
      <c r="E112" s="259" t="s">
        <v>1211</v>
      </c>
      <c r="AG112" s="7">
        <v>2025</v>
      </c>
      <c r="AH112" s="7"/>
      <c r="AI112" s="7"/>
    </row>
    <row r="113" spans="1:35" x14ac:dyDescent="0.3">
      <c r="A113" s="255"/>
      <c r="B113" s="255"/>
      <c r="E113" s="259" t="s">
        <v>949</v>
      </c>
      <c r="AG113" s="7">
        <v>2026</v>
      </c>
      <c r="AH113" s="7"/>
      <c r="AI113" s="7"/>
    </row>
    <row r="114" spans="1:35" x14ac:dyDescent="0.3">
      <c r="E114" s="259" t="s">
        <v>1212</v>
      </c>
      <c r="AG114" s="7">
        <v>2027</v>
      </c>
      <c r="AH114" s="7"/>
      <c r="AI114" s="7"/>
    </row>
    <row r="115" spans="1:35" x14ac:dyDescent="0.3">
      <c r="E115" s="259" t="s">
        <v>1339</v>
      </c>
      <c r="AG115" s="7">
        <v>2028</v>
      </c>
      <c r="AH115" s="7"/>
      <c r="AI115" s="7"/>
    </row>
    <row r="116" spans="1:35" x14ac:dyDescent="0.3">
      <c r="E116" s="259" t="s">
        <v>948</v>
      </c>
      <c r="AG116" s="7">
        <v>2029</v>
      </c>
      <c r="AH116" s="7"/>
      <c r="AI116" s="7"/>
    </row>
    <row r="117" spans="1:35" x14ac:dyDescent="0.3">
      <c r="E117" s="259" t="s">
        <v>1213</v>
      </c>
      <c r="AG117" s="7">
        <v>2030</v>
      </c>
      <c r="AH117" s="7"/>
      <c r="AI117" s="7"/>
    </row>
    <row r="118" spans="1:35" x14ac:dyDescent="0.3">
      <c r="E118" s="259" t="s">
        <v>950</v>
      </c>
    </row>
    <row r="119" spans="1:35" x14ac:dyDescent="0.3">
      <c r="E119" s="259" t="s">
        <v>951</v>
      </c>
    </row>
    <row r="120" spans="1:35" x14ac:dyDescent="0.3">
      <c r="E120" s="259" t="s">
        <v>1214</v>
      </c>
    </row>
    <row r="121" spans="1:35" x14ac:dyDescent="0.3">
      <c r="E121" s="259" t="s">
        <v>1215</v>
      </c>
    </row>
    <row r="122" spans="1:35" x14ac:dyDescent="0.3">
      <c r="E122" s="259" t="s">
        <v>1216</v>
      </c>
    </row>
    <row r="123" spans="1:35" x14ac:dyDescent="0.3">
      <c r="E123" s="259" t="s">
        <v>1340</v>
      </c>
    </row>
    <row r="124" spans="1:35" x14ac:dyDescent="0.3">
      <c r="E124" s="259" t="s">
        <v>1217</v>
      </c>
    </row>
    <row r="125" spans="1:35" x14ac:dyDescent="0.3">
      <c r="E125" s="259" t="s">
        <v>1218</v>
      </c>
    </row>
    <row r="126" spans="1:35" x14ac:dyDescent="0.3">
      <c r="E126" s="259" t="s">
        <v>1219</v>
      </c>
    </row>
    <row r="127" spans="1:35" x14ac:dyDescent="0.3">
      <c r="E127" s="259" t="s">
        <v>1341</v>
      </c>
    </row>
    <row r="128" spans="1:35" x14ac:dyDescent="0.3">
      <c r="E128" s="259" t="s">
        <v>1220</v>
      </c>
    </row>
    <row r="129" spans="5:5" x14ac:dyDescent="0.3">
      <c r="E129" s="259" t="s">
        <v>1221</v>
      </c>
    </row>
    <row r="130" spans="5:5" x14ac:dyDescent="0.3">
      <c r="E130" s="259" t="s">
        <v>1222</v>
      </c>
    </row>
    <row r="131" spans="5:5" x14ac:dyDescent="0.3">
      <c r="E131" s="259" t="s">
        <v>1223</v>
      </c>
    </row>
    <row r="132" spans="5:5" x14ac:dyDescent="0.3">
      <c r="E132" s="259" t="s">
        <v>1224</v>
      </c>
    </row>
    <row r="133" spans="5:5" x14ac:dyDescent="0.3">
      <c r="E133" s="259" t="s">
        <v>952</v>
      </c>
    </row>
    <row r="134" spans="5:5" x14ac:dyDescent="0.3">
      <c r="E134" s="259" t="s">
        <v>1225</v>
      </c>
    </row>
    <row r="135" spans="5:5" x14ac:dyDescent="0.3">
      <c r="E135" s="259" t="s">
        <v>2022</v>
      </c>
    </row>
    <row r="136" spans="5:5" x14ac:dyDescent="0.3">
      <c r="E136" s="259" t="s">
        <v>953</v>
      </c>
    </row>
    <row r="137" spans="5:5" x14ac:dyDescent="0.3">
      <c r="E137" s="259" t="s">
        <v>959</v>
      </c>
    </row>
    <row r="138" spans="5:5" x14ac:dyDescent="0.3">
      <c r="E138" s="259" t="s">
        <v>1226</v>
      </c>
    </row>
    <row r="139" spans="5:5" x14ac:dyDescent="0.3">
      <c r="E139" s="259" t="s">
        <v>1227</v>
      </c>
    </row>
    <row r="140" spans="5:5" x14ac:dyDescent="0.3">
      <c r="E140" s="259" t="s">
        <v>1228</v>
      </c>
    </row>
    <row r="141" spans="5:5" x14ac:dyDescent="0.3">
      <c r="E141" s="259" t="s">
        <v>1229</v>
      </c>
    </row>
    <row r="142" spans="5:5" x14ac:dyDescent="0.3">
      <c r="E142" s="259" t="s">
        <v>1230</v>
      </c>
    </row>
    <row r="143" spans="5:5" x14ac:dyDescent="0.3">
      <c r="E143" s="259" t="s">
        <v>1231</v>
      </c>
    </row>
    <row r="144" spans="5:5" x14ac:dyDescent="0.3">
      <c r="E144" s="259" t="s">
        <v>1232</v>
      </c>
    </row>
    <row r="145" spans="5:5" x14ac:dyDescent="0.3">
      <c r="E145" s="259" t="s">
        <v>954</v>
      </c>
    </row>
    <row r="146" spans="5:5" x14ac:dyDescent="0.3">
      <c r="E146" s="259" t="s">
        <v>955</v>
      </c>
    </row>
    <row r="147" spans="5:5" x14ac:dyDescent="0.3">
      <c r="E147" s="259" t="s">
        <v>1233</v>
      </c>
    </row>
    <row r="148" spans="5:5" x14ac:dyDescent="0.3">
      <c r="E148" s="259" t="s">
        <v>2023</v>
      </c>
    </row>
    <row r="149" spans="5:5" x14ac:dyDescent="0.3">
      <c r="E149" s="259" t="s">
        <v>1234</v>
      </c>
    </row>
    <row r="150" spans="5:5" x14ac:dyDescent="0.3">
      <c r="E150" s="259" t="s">
        <v>1235</v>
      </c>
    </row>
    <row r="151" spans="5:5" x14ac:dyDescent="0.3">
      <c r="E151" s="259" t="s">
        <v>956</v>
      </c>
    </row>
    <row r="152" spans="5:5" x14ac:dyDescent="0.3">
      <c r="E152" s="259" t="s">
        <v>1236</v>
      </c>
    </row>
    <row r="153" spans="5:5" x14ac:dyDescent="0.3">
      <c r="E153" s="259" t="s">
        <v>1237</v>
      </c>
    </row>
    <row r="154" spans="5:5" x14ac:dyDescent="0.3">
      <c r="E154" s="259" t="s">
        <v>1238</v>
      </c>
    </row>
    <row r="155" spans="5:5" x14ac:dyDescent="0.3">
      <c r="E155" s="259" t="s">
        <v>957</v>
      </c>
    </row>
    <row r="156" spans="5:5" x14ac:dyDescent="0.3">
      <c r="E156" s="259" t="s">
        <v>958</v>
      </c>
    </row>
    <row r="157" spans="5:5" x14ac:dyDescent="0.3">
      <c r="E157" s="259" t="s">
        <v>1239</v>
      </c>
    </row>
    <row r="158" spans="5:5" x14ac:dyDescent="0.3">
      <c r="E158" s="259" t="s">
        <v>1342</v>
      </c>
    </row>
    <row r="159" spans="5:5" x14ac:dyDescent="0.3">
      <c r="E159" s="259" t="s">
        <v>1240</v>
      </c>
    </row>
    <row r="160" spans="5:5" x14ac:dyDescent="0.3">
      <c r="E160" s="259" t="s">
        <v>1241</v>
      </c>
    </row>
    <row r="161" spans="5:5" x14ac:dyDescent="0.3">
      <c r="E161" s="259" t="s">
        <v>1242</v>
      </c>
    </row>
    <row r="162" spans="5:5" x14ac:dyDescent="0.3">
      <c r="E162" s="259" t="s">
        <v>1243</v>
      </c>
    </row>
    <row r="163" spans="5:5" x14ac:dyDescent="0.3">
      <c r="E163" s="259" t="s">
        <v>1244</v>
      </c>
    </row>
    <row r="164" spans="5:5" x14ac:dyDescent="0.3">
      <c r="E164" s="259" t="s">
        <v>2024</v>
      </c>
    </row>
    <row r="165" spans="5:5" x14ac:dyDescent="0.3">
      <c r="E165" s="259" t="s">
        <v>1245</v>
      </c>
    </row>
    <row r="166" spans="5:5" x14ac:dyDescent="0.3">
      <c r="E166" s="259" t="s">
        <v>1246</v>
      </c>
    </row>
    <row r="167" spans="5:5" x14ac:dyDescent="0.3">
      <c r="E167" s="259" t="s">
        <v>1343</v>
      </c>
    </row>
    <row r="168" spans="5:5" x14ac:dyDescent="0.3">
      <c r="E168" s="259" t="s">
        <v>1247</v>
      </c>
    </row>
    <row r="169" spans="5:5" x14ac:dyDescent="0.3">
      <c r="E169" s="259" t="s">
        <v>1248</v>
      </c>
    </row>
    <row r="170" spans="5:5" x14ac:dyDescent="0.3">
      <c r="E170" s="259" t="s">
        <v>1249</v>
      </c>
    </row>
    <row r="171" spans="5:5" x14ac:dyDescent="0.3">
      <c r="E171" s="259" t="s">
        <v>1250</v>
      </c>
    </row>
    <row r="172" spans="5:5" x14ac:dyDescent="0.3">
      <c r="E172" s="259" t="s">
        <v>1251</v>
      </c>
    </row>
    <row r="173" spans="5:5" x14ac:dyDescent="0.3">
      <c r="E173" s="259" t="s">
        <v>1252</v>
      </c>
    </row>
    <row r="174" spans="5:5" x14ac:dyDescent="0.3">
      <c r="E174" s="259" t="s">
        <v>1253</v>
      </c>
    </row>
    <row r="175" spans="5:5" x14ac:dyDescent="0.3">
      <c r="E175" s="259" t="s">
        <v>960</v>
      </c>
    </row>
    <row r="176" spans="5:5" x14ac:dyDescent="0.3">
      <c r="E176" s="259" t="s">
        <v>1254</v>
      </c>
    </row>
    <row r="177" spans="5:5" x14ac:dyDescent="0.3">
      <c r="E177" s="259" t="s">
        <v>1344</v>
      </c>
    </row>
    <row r="178" spans="5:5" x14ac:dyDescent="0.3">
      <c r="E178" s="259" t="s">
        <v>1255</v>
      </c>
    </row>
    <row r="179" spans="5:5" x14ac:dyDescent="0.3">
      <c r="E179" s="259" t="s">
        <v>961</v>
      </c>
    </row>
    <row r="180" spans="5:5" x14ac:dyDescent="0.3">
      <c r="E180" s="259" t="s">
        <v>1256</v>
      </c>
    </row>
    <row r="181" spans="5:5" x14ac:dyDescent="0.3">
      <c r="E181" s="259" t="s">
        <v>1257</v>
      </c>
    </row>
    <row r="182" spans="5:5" x14ac:dyDescent="0.3">
      <c r="E182" s="259" t="s">
        <v>1258</v>
      </c>
    </row>
    <row r="183" spans="5:5" x14ac:dyDescent="0.3">
      <c r="E183" s="259" t="s">
        <v>1259</v>
      </c>
    </row>
    <row r="184" spans="5:5" x14ac:dyDescent="0.3">
      <c r="E184" s="259" t="s">
        <v>1260</v>
      </c>
    </row>
    <row r="185" spans="5:5" x14ac:dyDescent="0.3">
      <c r="E185" s="259" t="s">
        <v>962</v>
      </c>
    </row>
    <row r="186" spans="5:5" x14ac:dyDescent="0.3">
      <c r="E186" s="259" t="s">
        <v>1345</v>
      </c>
    </row>
    <row r="187" spans="5:5" x14ac:dyDescent="0.3">
      <c r="E187" s="259" t="s">
        <v>1261</v>
      </c>
    </row>
    <row r="188" spans="5:5" x14ac:dyDescent="0.3">
      <c r="E188" s="259" t="s">
        <v>1262</v>
      </c>
    </row>
    <row r="189" spans="5:5" x14ac:dyDescent="0.3">
      <c r="E189" s="259" t="s">
        <v>1316</v>
      </c>
    </row>
    <row r="190" spans="5:5" x14ac:dyDescent="0.3">
      <c r="E190" s="259" t="s">
        <v>1263</v>
      </c>
    </row>
    <row r="191" spans="5:5" x14ac:dyDescent="0.3">
      <c r="E191" s="259" t="s">
        <v>1264</v>
      </c>
    </row>
    <row r="192" spans="5:5" x14ac:dyDescent="0.3">
      <c r="E192" s="259" t="s">
        <v>1265</v>
      </c>
    </row>
    <row r="193" spans="5:5" x14ac:dyDescent="0.3">
      <c r="E193" s="259" t="s">
        <v>1266</v>
      </c>
    </row>
    <row r="194" spans="5:5" x14ac:dyDescent="0.3">
      <c r="E194" s="259" t="s">
        <v>1267</v>
      </c>
    </row>
    <row r="195" spans="5:5" x14ac:dyDescent="0.3">
      <c r="E195" s="259" t="s">
        <v>1268</v>
      </c>
    </row>
    <row r="196" spans="5:5" x14ac:dyDescent="0.3">
      <c r="E196" s="259" t="s">
        <v>1269</v>
      </c>
    </row>
    <row r="197" spans="5:5" x14ac:dyDescent="0.3">
      <c r="E197" s="259" t="s">
        <v>963</v>
      </c>
    </row>
    <row r="198" spans="5:5" x14ac:dyDescent="0.3">
      <c r="E198" s="259" t="s">
        <v>1270</v>
      </c>
    </row>
    <row r="199" spans="5:5" x14ac:dyDescent="0.3">
      <c r="E199" s="259" t="s">
        <v>1271</v>
      </c>
    </row>
    <row r="200" spans="5:5" x14ac:dyDescent="0.3">
      <c r="E200" s="259" t="s">
        <v>1272</v>
      </c>
    </row>
    <row r="201" spans="5:5" x14ac:dyDescent="0.3">
      <c r="E201" s="259" t="s">
        <v>964</v>
      </c>
    </row>
    <row r="202" spans="5:5" x14ac:dyDescent="0.3">
      <c r="E202" s="259" t="s">
        <v>1346</v>
      </c>
    </row>
    <row r="203" spans="5:5" x14ac:dyDescent="0.3">
      <c r="E203" s="259" t="s">
        <v>1273</v>
      </c>
    </row>
    <row r="204" spans="5:5" x14ac:dyDescent="0.3">
      <c r="E204" s="259" t="s">
        <v>1347</v>
      </c>
    </row>
    <row r="205" spans="5:5" x14ac:dyDescent="0.3">
      <c r="E205" s="259" t="s">
        <v>1274</v>
      </c>
    </row>
    <row r="206" spans="5:5" x14ac:dyDescent="0.3">
      <c r="E206" s="259" t="s">
        <v>1275</v>
      </c>
    </row>
    <row r="207" spans="5:5" x14ac:dyDescent="0.3">
      <c r="E207" s="259" t="s">
        <v>1276</v>
      </c>
    </row>
    <row r="208" spans="5:5" x14ac:dyDescent="0.3">
      <c r="E208" s="259" t="s">
        <v>1277</v>
      </c>
    </row>
    <row r="209" spans="5:5" x14ac:dyDescent="0.3">
      <c r="E209" s="259" t="s">
        <v>1278</v>
      </c>
    </row>
    <row r="210" spans="5:5" x14ac:dyDescent="0.3">
      <c r="E210" s="259" t="s">
        <v>1279</v>
      </c>
    </row>
    <row r="211" spans="5:5" x14ac:dyDescent="0.3">
      <c r="E211" s="259" t="s">
        <v>1280</v>
      </c>
    </row>
    <row r="212" spans="5:5" x14ac:dyDescent="0.3">
      <c r="E212" s="259" t="s">
        <v>1281</v>
      </c>
    </row>
    <row r="213" spans="5:5" x14ac:dyDescent="0.3">
      <c r="E213" s="259" t="s">
        <v>1282</v>
      </c>
    </row>
    <row r="214" spans="5:5" x14ac:dyDescent="0.3">
      <c r="E214" s="259" t="s">
        <v>1283</v>
      </c>
    </row>
    <row r="215" spans="5:5" x14ac:dyDescent="0.3">
      <c r="E215" s="259" t="s">
        <v>1284</v>
      </c>
    </row>
    <row r="216" spans="5:5" x14ac:dyDescent="0.3">
      <c r="E216" s="259" t="s">
        <v>1285</v>
      </c>
    </row>
    <row r="217" spans="5:5" x14ac:dyDescent="0.3">
      <c r="E217" s="259" t="s">
        <v>1286</v>
      </c>
    </row>
    <row r="218" spans="5:5" x14ac:dyDescent="0.3">
      <c r="E218" s="259" t="s">
        <v>1287</v>
      </c>
    </row>
    <row r="219" spans="5:5" x14ac:dyDescent="0.3">
      <c r="E219" s="259" t="s">
        <v>1288</v>
      </c>
    </row>
    <row r="220" spans="5:5" x14ac:dyDescent="0.3">
      <c r="E220" s="259" t="s">
        <v>1289</v>
      </c>
    </row>
    <row r="221" spans="5:5" x14ac:dyDescent="0.3">
      <c r="E221" s="259" t="s">
        <v>1290</v>
      </c>
    </row>
    <row r="222" spans="5:5" x14ac:dyDescent="0.3">
      <c r="E222" s="259" t="s">
        <v>1291</v>
      </c>
    </row>
    <row r="223" spans="5:5" x14ac:dyDescent="0.3">
      <c r="E223" s="259" t="s">
        <v>1348</v>
      </c>
    </row>
    <row r="224" spans="5:5" x14ac:dyDescent="0.3">
      <c r="E224" s="259" t="s">
        <v>965</v>
      </c>
    </row>
    <row r="225" spans="5:5" x14ac:dyDescent="0.3">
      <c r="E225" s="259" t="s">
        <v>966</v>
      </c>
    </row>
    <row r="226" spans="5:5" x14ac:dyDescent="0.3">
      <c r="E226" s="259" t="s">
        <v>1292</v>
      </c>
    </row>
    <row r="227" spans="5:5" x14ac:dyDescent="0.3">
      <c r="E227" s="259" t="s">
        <v>1293</v>
      </c>
    </row>
    <row r="228" spans="5:5" x14ac:dyDescent="0.3">
      <c r="E228" s="259" t="s">
        <v>1294</v>
      </c>
    </row>
    <row r="229" spans="5:5" x14ac:dyDescent="0.3">
      <c r="E229" s="259" t="s">
        <v>1295</v>
      </c>
    </row>
    <row r="230" spans="5:5" x14ac:dyDescent="0.3">
      <c r="E230" s="259" t="s">
        <v>967</v>
      </c>
    </row>
    <row r="231" spans="5:5" x14ac:dyDescent="0.3">
      <c r="E231" s="259" t="s">
        <v>1296</v>
      </c>
    </row>
    <row r="232" spans="5:5" x14ac:dyDescent="0.3">
      <c r="E232" s="259" t="s">
        <v>1297</v>
      </c>
    </row>
    <row r="233" spans="5:5" x14ac:dyDescent="0.3">
      <c r="E233" s="259" t="s">
        <v>1298</v>
      </c>
    </row>
    <row r="234" spans="5:5" x14ac:dyDescent="0.3">
      <c r="E234" s="259" t="s">
        <v>1299</v>
      </c>
    </row>
    <row r="235" spans="5:5" x14ac:dyDescent="0.3">
      <c r="E235" s="259" t="s">
        <v>1300</v>
      </c>
    </row>
    <row r="236" spans="5:5" x14ac:dyDescent="0.3">
      <c r="E236" s="259" t="s">
        <v>1349</v>
      </c>
    </row>
    <row r="237" spans="5:5" x14ac:dyDescent="0.3">
      <c r="E237" s="259" t="s">
        <v>1301</v>
      </c>
    </row>
    <row r="238" spans="5:5" x14ac:dyDescent="0.3">
      <c r="E238" s="259" t="s">
        <v>1302</v>
      </c>
    </row>
    <row r="239" spans="5:5" x14ac:dyDescent="0.3">
      <c r="E239" s="259" t="s">
        <v>1303</v>
      </c>
    </row>
    <row r="240" spans="5:5" x14ac:dyDescent="0.3">
      <c r="E240" s="259" t="s">
        <v>968</v>
      </c>
    </row>
    <row r="241" spans="5:5" x14ac:dyDescent="0.3">
      <c r="E241" s="2" t="s">
        <v>1304</v>
      </c>
    </row>
    <row r="242" spans="5:5" x14ac:dyDescent="0.3">
      <c r="E242" s="2" t="s">
        <v>1305</v>
      </c>
    </row>
    <row r="243" spans="5:5" x14ac:dyDescent="0.3">
      <c r="E243" s="2" t="s">
        <v>1306</v>
      </c>
    </row>
    <row r="244" spans="5:5" x14ac:dyDescent="0.3">
      <c r="E244" s="2" t="s">
        <v>1307</v>
      </c>
    </row>
    <row r="245" spans="5:5" x14ac:dyDescent="0.3">
      <c r="E245" s="2" t="s">
        <v>1308</v>
      </c>
    </row>
    <row r="246" spans="5:5" x14ac:dyDescent="0.3">
      <c r="E246" s="2" t="s">
        <v>1309</v>
      </c>
    </row>
    <row r="247" spans="5:5" x14ac:dyDescent="0.3">
      <c r="E247" s="2" t="s">
        <v>1310</v>
      </c>
    </row>
    <row r="248" spans="5:5" x14ac:dyDescent="0.3">
      <c r="E248" s="2" t="s">
        <v>1311</v>
      </c>
    </row>
    <row r="249" spans="5:5" x14ac:dyDescent="0.3">
      <c r="E249" s="2" t="s">
        <v>1312</v>
      </c>
    </row>
    <row r="250" spans="5:5" x14ac:dyDescent="0.3">
      <c r="E250" s="2" t="s">
        <v>1313</v>
      </c>
    </row>
  </sheetData>
  <sheetProtection algorithmName="SHA-512" hashValue="CE5Uy4MTyRmq/CkMjhYX4sfdOOTBR0YxUsRB4RB4CmnGBCloJeiyJHeuz9t3ar/pYurp1vEDaQmDSuu7KLBqwg==" saltValue="6PJZnmrMrpuAg7K4CpNy5w==" spinCount="100000" sheet="1" objects="1" scenarios="1"/>
  <sortState xmlns:xlrd2="http://schemas.microsoft.com/office/spreadsheetml/2017/richdata2" ref="G2:H34">
    <sortCondition ref="G2:G34"/>
  </sortState>
  <pageMargins left="0.17" right="0.1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B36"/>
  <sheetViews>
    <sheetView workbookViewId="0">
      <selection activeCell="A18" sqref="A18"/>
    </sheetView>
  </sheetViews>
  <sheetFormatPr defaultRowHeight="15" x14ac:dyDescent="0.25"/>
  <cols>
    <col min="1" max="1" width="30.7109375" customWidth="1"/>
    <col min="2" max="2" width="11.140625" bestFit="1" customWidth="1"/>
  </cols>
  <sheetData>
    <row r="1" spans="1:2" ht="15.75" x14ac:dyDescent="0.3">
      <c r="A1" s="277" t="s">
        <v>0</v>
      </c>
      <c r="B1" s="277" t="s">
        <v>1</v>
      </c>
    </row>
    <row r="2" spans="1:2" x14ac:dyDescent="0.25">
      <c r="A2" s="276" t="s">
        <v>60</v>
      </c>
      <c r="B2" s="276" t="s">
        <v>994</v>
      </c>
    </row>
    <row r="3" spans="1:2" x14ac:dyDescent="0.25">
      <c r="A3" s="276" t="s">
        <v>1920</v>
      </c>
      <c r="B3" s="276" t="s">
        <v>988</v>
      </c>
    </row>
    <row r="4" spans="1:2" x14ac:dyDescent="0.25">
      <c r="A4" s="276" t="s">
        <v>1921</v>
      </c>
      <c r="B4" s="276" t="s">
        <v>996</v>
      </c>
    </row>
    <row r="5" spans="1:2" x14ac:dyDescent="0.25">
      <c r="A5" s="276" t="s">
        <v>1849</v>
      </c>
      <c r="B5" s="276" t="s">
        <v>1844</v>
      </c>
    </row>
    <row r="6" spans="1:2" x14ac:dyDescent="0.25">
      <c r="A6" s="276" t="s">
        <v>970</v>
      </c>
      <c r="B6" s="276" t="s">
        <v>971</v>
      </c>
    </row>
    <row r="7" spans="1:2" x14ac:dyDescent="0.25">
      <c r="A7" s="276" t="s">
        <v>1862</v>
      </c>
      <c r="B7" s="276" t="s">
        <v>1863</v>
      </c>
    </row>
    <row r="8" spans="1:2" x14ac:dyDescent="0.25">
      <c r="A8" s="276" t="s">
        <v>896</v>
      </c>
      <c r="B8" s="276" t="s">
        <v>969</v>
      </c>
    </row>
    <row r="9" spans="1:2" x14ac:dyDescent="0.25">
      <c r="A9" s="276" t="s">
        <v>972</v>
      </c>
      <c r="B9" s="276" t="s">
        <v>973</v>
      </c>
    </row>
    <row r="10" spans="1:2" x14ac:dyDescent="0.25">
      <c r="A10" s="276" t="s">
        <v>1922</v>
      </c>
      <c r="B10" s="276" t="s">
        <v>1923</v>
      </c>
    </row>
    <row r="11" spans="1:2" x14ac:dyDescent="0.25">
      <c r="A11" s="276" t="s">
        <v>977</v>
      </c>
      <c r="B11" s="276" t="s">
        <v>978</v>
      </c>
    </row>
    <row r="12" spans="1:2" x14ac:dyDescent="0.25">
      <c r="A12" s="276" t="s">
        <v>1924</v>
      </c>
      <c r="B12" s="276" t="s">
        <v>982</v>
      </c>
    </row>
    <row r="13" spans="1:2" x14ac:dyDescent="0.25">
      <c r="A13" s="276" t="s">
        <v>1931</v>
      </c>
      <c r="B13" s="276" t="s">
        <v>976</v>
      </c>
    </row>
    <row r="14" spans="1:2" x14ac:dyDescent="0.25">
      <c r="A14" s="276" t="s">
        <v>979</v>
      </c>
      <c r="B14" s="276" t="s">
        <v>981</v>
      </c>
    </row>
    <row r="15" spans="1:2" x14ac:dyDescent="0.25">
      <c r="A15" s="276" t="s">
        <v>1853</v>
      </c>
      <c r="B15" s="276" t="s">
        <v>1850</v>
      </c>
    </row>
    <row r="16" spans="1:2" x14ac:dyDescent="0.25">
      <c r="A16" s="276" t="s">
        <v>974</v>
      </c>
      <c r="B16" s="276" t="s">
        <v>975</v>
      </c>
    </row>
    <row r="17" spans="1:2" x14ac:dyDescent="0.25">
      <c r="A17" s="276" t="s">
        <v>1854</v>
      </c>
      <c r="B17" s="276" t="s">
        <v>991</v>
      </c>
    </row>
    <row r="18" spans="1:2" x14ac:dyDescent="0.25">
      <c r="A18" s="276" t="s">
        <v>1864</v>
      </c>
      <c r="B18" s="276" t="s">
        <v>1865</v>
      </c>
    </row>
    <row r="19" spans="1:2" x14ac:dyDescent="0.25">
      <c r="A19" s="276" t="s">
        <v>1932</v>
      </c>
      <c r="B19" s="276" t="s">
        <v>990</v>
      </c>
    </row>
    <row r="20" spans="1:2" x14ac:dyDescent="0.25">
      <c r="A20" s="276" t="s">
        <v>1851</v>
      </c>
      <c r="B20" s="276" t="s">
        <v>993</v>
      </c>
    </row>
    <row r="21" spans="1:2" x14ac:dyDescent="0.25">
      <c r="A21" s="276" t="s">
        <v>1933</v>
      </c>
      <c r="B21" s="276" t="s">
        <v>992</v>
      </c>
    </row>
    <row r="22" spans="1:2" x14ac:dyDescent="0.25">
      <c r="A22" s="276" t="s">
        <v>36</v>
      </c>
      <c r="B22" s="276" t="s">
        <v>986</v>
      </c>
    </row>
    <row r="23" spans="1:2" x14ac:dyDescent="0.25">
      <c r="A23" s="276" t="s">
        <v>1846</v>
      </c>
      <c r="B23" s="276" t="s">
        <v>987</v>
      </c>
    </row>
    <row r="24" spans="1:2" x14ac:dyDescent="0.25">
      <c r="A24" s="276" t="s">
        <v>1925</v>
      </c>
      <c r="B24" s="276" t="s">
        <v>1926</v>
      </c>
    </row>
    <row r="25" spans="1:2" x14ac:dyDescent="0.25">
      <c r="A25" s="276" t="s">
        <v>58</v>
      </c>
      <c r="B25" s="276" t="s">
        <v>995</v>
      </c>
    </row>
    <row r="26" spans="1:2" x14ac:dyDescent="0.25">
      <c r="A26" s="276" t="s">
        <v>1934</v>
      </c>
      <c r="B26" s="276" t="s">
        <v>980</v>
      </c>
    </row>
    <row r="27" spans="1:2" x14ac:dyDescent="0.25">
      <c r="A27" s="276" t="s">
        <v>1852</v>
      </c>
      <c r="B27" s="276" t="s">
        <v>1845</v>
      </c>
    </row>
    <row r="28" spans="1:2" x14ac:dyDescent="0.25">
      <c r="A28" s="276" t="s">
        <v>31</v>
      </c>
      <c r="B28" s="276" t="s">
        <v>983</v>
      </c>
    </row>
    <row r="29" spans="1:2" x14ac:dyDescent="0.25">
      <c r="A29" s="276" t="s">
        <v>1847</v>
      </c>
      <c r="B29" s="276" t="s">
        <v>985</v>
      </c>
    </row>
    <row r="30" spans="1:2" x14ac:dyDescent="0.25">
      <c r="A30" s="276" t="s">
        <v>33</v>
      </c>
      <c r="B30" s="276" t="s">
        <v>984</v>
      </c>
    </row>
    <row r="31" spans="1:2" x14ac:dyDescent="0.25">
      <c r="A31" s="276" t="s">
        <v>42</v>
      </c>
      <c r="B31" s="276" t="s">
        <v>989</v>
      </c>
    </row>
    <row r="32" spans="1:2" x14ac:dyDescent="0.25">
      <c r="A32" s="276" t="s">
        <v>1927</v>
      </c>
      <c r="B32" s="276" t="s">
        <v>998</v>
      </c>
    </row>
    <row r="33" spans="1:2" x14ac:dyDescent="0.25">
      <c r="A33" s="276" t="s">
        <v>1928</v>
      </c>
      <c r="B33" s="276" t="s">
        <v>1848</v>
      </c>
    </row>
    <row r="34" spans="1:2" x14ac:dyDescent="0.25">
      <c r="A34" s="276" t="s">
        <v>1929</v>
      </c>
      <c r="B34" s="276" t="s">
        <v>999</v>
      </c>
    </row>
    <row r="35" spans="1:2" x14ac:dyDescent="0.25">
      <c r="A35" s="276" t="s">
        <v>1930</v>
      </c>
      <c r="B35" s="276" t="s">
        <v>997</v>
      </c>
    </row>
    <row r="36" spans="1:2" x14ac:dyDescent="0.25">
      <c r="A36" s="276" t="s">
        <v>1935</v>
      </c>
      <c r="B36" s="276" t="s">
        <v>1135</v>
      </c>
    </row>
  </sheetData>
  <sheetProtection algorithmName="SHA-512" hashValue="MsL6VW4eayOU98tLMFJ6hvViO4Fyzy7JdnuE0d1ioSkfTZveB/6lYNcfoZ6IdM0EcAbSy4kxNXrU1p86kTkmsA==" saltValue="BU6BH+Wa+X5QIH0SQud2Zw==" spinCount="100000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D120"/>
  <sheetViews>
    <sheetView workbookViewId="0">
      <selection activeCell="A15" sqref="A15"/>
    </sheetView>
  </sheetViews>
  <sheetFormatPr defaultRowHeight="15" x14ac:dyDescent="0.25"/>
  <cols>
    <col min="1" max="1" width="67.85546875" customWidth="1"/>
    <col min="2" max="2" width="25.140625" style="451" customWidth="1"/>
    <col min="3" max="3" width="40.140625" bestFit="1" customWidth="1"/>
    <col min="4" max="4" width="17.28515625" bestFit="1" customWidth="1"/>
  </cols>
  <sheetData>
    <row r="1" spans="1:4" x14ac:dyDescent="0.25">
      <c r="A1" s="275" t="s">
        <v>132</v>
      </c>
      <c r="B1" s="449" t="s">
        <v>1690</v>
      </c>
      <c r="C1" s="275" t="s">
        <v>1691</v>
      </c>
      <c r="D1" s="275" t="s">
        <v>1692</v>
      </c>
    </row>
    <row r="2" spans="1:4" x14ac:dyDescent="0.25">
      <c r="A2" s="66" t="s">
        <v>1066</v>
      </c>
      <c r="B2" s="450" t="s">
        <v>1021</v>
      </c>
      <c r="C2" s="66" t="s">
        <v>1693</v>
      </c>
      <c r="D2" s="66">
        <v>1</v>
      </c>
    </row>
    <row r="3" spans="1:4" x14ac:dyDescent="0.25">
      <c r="A3" s="66" t="s">
        <v>1067</v>
      </c>
      <c r="B3" s="450" t="s">
        <v>1022</v>
      </c>
      <c r="C3" s="66" t="s">
        <v>1694</v>
      </c>
      <c r="D3" s="66">
        <v>2</v>
      </c>
    </row>
    <row r="4" spans="1:4" x14ac:dyDescent="0.25">
      <c r="A4" s="66" t="s">
        <v>1068</v>
      </c>
      <c r="B4" s="450" t="s">
        <v>1023</v>
      </c>
      <c r="C4" s="66" t="s">
        <v>1695</v>
      </c>
      <c r="D4" s="66">
        <v>3</v>
      </c>
    </row>
    <row r="5" spans="1:4" x14ac:dyDescent="0.25">
      <c r="A5" s="66" t="s">
        <v>1936</v>
      </c>
      <c r="B5" s="450" t="s">
        <v>906</v>
      </c>
      <c r="C5" s="66" t="s">
        <v>1696</v>
      </c>
      <c r="D5" s="66">
        <v>4</v>
      </c>
    </row>
    <row r="6" spans="1:4" x14ac:dyDescent="0.25">
      <c r="A6" s="66" t="s">
        <v>1069</v>
      </c>
      <c r="B6" s="450" t="s">
        <v>20</v>
      </c>
      <c r="C6" s="66" t="s">
        <v>1697</v>
      </c>
      <c r="D6" s="66">
        <v>5</v>
      </c>
    </row>
    <row r="7" spans="1:4" x14ac:dyDescent="0.25">
      <c r="A7" s="66" t="s">
        <v>1070</v>
      </c>
      <c r="B7" s="450" t="s">
        <v>23</v>
      </c>
      <c r="C7" s="66" t="s">
        <v>1698</v>
      </c>
      <c r="D7" s="66">
        <v>6</v>
      </c>
    </row>
    <row r="8" spans="1:4" x14ac:dyDescent="0.25">
      <c r="A8" s="66" t="s">
        <v>1071</v>
      </c>
      <c r="B8" s="450" t="s">
        <v>28</v>
      </c>
      <c r="C8" s="66" t="s">
        <v>1699</v>
      </c>
      <c r="D8" s="66">
        <v>8</v>
      </c>
    </row>
    <row r="9" spans="1:4" x14ac:dyDescent="0.25">
      <c r="A9" s="66" t="s">
        <v>1072</v>
      </c>
      <c r="B9" s="450" t="s">
        <v>30</v>
      </c>
      <c r="C9" s="66" t="s">
        <v>1700</v>
      </c>
      <c r="D9" s="66">
        <v>9</v>
      </c>
    </row>
    <row r="10" spans="1:4" x14ac:dyDescent="0.25">
      <c r="A10" s="66" t="s">
        <v>1073</v>
      </c>
      <c r="B10" s="450" t="s">
        <v>1024</v>
      </c>
      <c r="C10" s="66" t="s">
        <v>1701</v>
      </c>
      <c r="D10" s="66">
        <v>12</v>
      </c>
    </row>
    <row r="11" spans="1:4" x14ac:dyDescent="0.25">
      <c r="A11" s="66" t="s">
        <v>1074</v>
      </c>
      <c r="B11" s="450" t="s">
        <v>39</v>
      </c>
      <c r="C11" s="66" t="s">
        <v>1702</v>
      </c>
      <c r="D11" s="66">
        <v>14</v>
      </c>
    </row>
    <row r="12" spans="1:4" x14ac:dyDescent="0.25">
      <c r="A12" s="66" t="s">
        <v>1075</v>
      </c>
      <c r="B12" s="450" t="s">
        <v>1025</v>
      </c>
      <c r="C12" s="66" t="s">
        <v>1703</v>
      </c>
      <c r="D12" s="66">
        <v>15</v>
      </c>
    </row>
    <row r="13" spans="1:4" x14ac:dyDescent="0.25">
      <c r="A13" s="66" t="s">
        <v>1076</v>
      </c>
      <c r="B13" s="450" t="s">
        <v>1026</v>
      </c>
      <c r="C13" s="66" t="s">
        <v>1704</v>
      </c>
      <c r="D13" s="66">
        <v>16</v>
      </c>
    </row>
    <row r="14" spans="1:4" x14ac:dyDescent="0.25">
      <c r="A14" s="66" t="s">
        <v>1018</v>
      </c>
      <c r="B14" s="450" t="s">
        <v>44</v>
      </c>
      <c r="C14" s="66" t="s">
        <v>1705</v>
      </c>
      <c r="D14" s="66">
        <v>17</v>
      </c>
    </row>
    <row r="15" spans="1:4" x14ac:dyDescent="0.25">
      <c r="A15" s="66" t="s">
        <v>1017</v>
      </c>
      <c r="B15" s="450" t="s">
        <v>1027</v>
      </c>
      <c r="C15" s="66" t="s">
        <v>1706</v>
      </c>
      <c r="D15" s="66">
        <v>18</v>
      </c>
    </row>
    <row r="16" spans="1:4" x14ac:dyDescent="0.25">
      <c r="A16" s="66" t="s">
        <v>1019</v>
      </c>
      <c r="B16" s="450" t="s">
        <v>48</v>
      </c>
      <c r="C16" s="66" t="s">
        <v>1707</v>
      </c>
      <c r="D16" s="66">
        <v>19</v>
      </c>
    </row>
    <row r="17" spans="1:4" x14ac:dyDescent="0.25">
      <c r="A17" s="66" t="s">
        <v>1937</v>
      </c>
      <c r="B17" s="450" t="s">
        <v>50</v>
      </c>
      <c r="C17" s="66" t="s">
        <v>1708</v>
      </c>
      <c r="D17" s="66">
        <v>20</v>
      </c>
    </row>
    <row r="18" spans="1:4" x14ac:dyDescent="0.25">
      <c r="A18" s="66" t="s">
        <v>452</v>
      </c>
      <c r="B18" s="450" t="s">
        <v>52</v>
      </c>
      <c r="C18" s="66" t="s">
        <v>1709</v>
      </c>
      <c r="D18" s="66">
        <v>21</v>
      </c>
    </row>
    <row r="19" spans="1:4" x14ac:dyDescent="0.25">
      <c r="A19" s="66" t="s">
        <v>1077</v>
      </c>
      <c r="B19" s="450" t="s">
        <v>56</v>
      </c>
      <c r="C19" s="66" t="s">
        <v>1710</v>
      </c>
      <c r="D19" s="66">
        <v>22</v>
      </c>
    </row>
    <row r="20" spans="1:4" x14ac:dyDescent="0.25">
      <c r="A20" s="66" t="s">
        <v>1078</v>
      </c>
      <c r="B20" s="450" t="s">
        <v>59</v>
      </c>
      <c r="C20" s="66" t="s">
        <v>1711</v>
      </c>
      <c r="D20" s="66">
        <v>23</v>
      </c>
    </row>
    <row r="21" spans="1:4" x14ac:dyDescent="0.25">
      <c r="A21" s="66" t="s">
        <v>1079</v>
      </c>
      <c r="B21" s="450" t="s">
        <v>64</v>
      </c>
      <c r="C21" s="66" t="s">
        <v>1712</v>
      </c>
      <c r="D21" s="66">
        <v>24</v>
      </c>
    </row>
    <row r="22" spans="1:4" x14ac:dyDescent="0.25">
      <c r="A22" s="66" t="s">
        <v>1080</v>
      </c>
      <c r="B22" s="450" t="s">
        <v>66</v>
      </c>
      <c r="C22" s="66" t="s">
        <v>1713</v>
      </c>
      <c r="D22" s="66">
        <v>25</v>
      </c>
    </row>
    <row r="23" spans="1:4" x14ac:dyDescent="0.25">
      <c r="A23" s="66" t="s">
        <v>1081</v>
      </c>
      <c r="B23" s="450" t="s">
        <v>68</v>
      </c>
      <c r="C23" s="66" t="s">
        <v>1714</v>
      </c>
      <c r="D23" s="66">
        <v>26</v>
      </c>
    </row>
    <row r="24" spans="1:4" x14ac:dyDescent="0.25">
      <c r="A24" s="66" t="s">
        <v>1082</v>
      </c>
      <c r="B24" s="450" t="s">
        <v>62</v>
      </c>
      <c r="C24" s="66" t="s">
        <v>1715</v>
      </c>
      <c r="D24" s="66">
        <v>27</v>
      </c>
    </row>
    <row r="25" spans="1:4" x14ac:dyDescent="0.25">
      <c r="A25" s="66" t="s">
        <v>1938</v>
      </c>
      <c r="B25" s="450" t="s">
        <v>1016</v>
      </c>
      <c r="C25" s="66" t="s">
        <v>1716</v>
      </c>
      <c r="D25" s="66">
        <v>28</v>
      </c>
    </row>
    <row r="26" spans="1:4" x14ac:dyDescent="0.25">
      <c r="A26" s="66" t="s">
        <v>1939</v>
      </c>
      <c r="B26" s="450" t="s">
        <v>54</v>
      </c>
      <c r="C26" s="66" t="s">
        <v>1717</v>
      </c>
      <c r="D26" s="66">
        <v>29</v>
      </c>
    </row>
    <row r="27" spans="1:4" x14ac:dyDescent="0.25">
      <c r="A27" s="66" t="s">
        <v>1083</v>
      </c>
      <c r="B27" s="450" t="s">
        <v>1917</v>
      </c>
      <c r="C27" s="66" t="s">
        <v>1718</v>
      </c>
      <c r="D27" s="66">
        <v>39</v>
      </c>
    </row>
    <row r="28" spans="1:4" x14ac:dyDescent="0.25">
      <c r="A28" s="66" t="s">
        <v>1940</v>
      </c>
      <c r="B28" s="450" t="s">
        <v>1084</v>
      </c>
      <c r="C28" s="448" t="s">
        <v>1719</v>
      </c>
      <c r="D28" s="66">
        <v>40</v>
      </c>
    </row>
    <row r="29" spans="1:4" x14ac:dyDescent="0.25">
      <c r="A29" s="66" t="s">
        <v>1941</v>
      </c>
      <c r="B29" s="450" t="s">
        <v>1085</v>
      </c>
      <c r="C29" s="448" t="s">
        <v>1720</v>
      </c>
      <c r="D29" s="66">
        <v>41</v>
      </c>
    </row>
    <row r="30" spans="1:4" x14ac:dyDescent="0.25">
      <c r="A30" s="66" t="s">
        <v>1086</v>
      </c>
      <c r="B30" s="450" t="s">
        <v>1028</v>
      </c>
      <c r="C30" s="66" t="s">
        <v>1721</v>
      </c>
      <c r="D30" s="66">
        <v>47</v>
      </c>
    </row>
    <row r="31" spans="1:4" x14ac:dyDescent="0.25">
      <c r="A31" s="66" t="s">
        <v>1087</v>
      </c>
      <c r="B31" s="450" t="s">
        <v>1029</v>
      </c>
      <c r="C31" s="448" t="s">
        <v>1722</v>
      </c>
      <c r="D31" s="66">
        <v>49</v>
      </c>
    </row>
    <row r="32" spans="1:4" x14ac:dyDescent="0.25">
      <c r="A32" s="66" t="s">
        <v>1942</v>
      </c>
      <c r="B32" s="450" t="s">
        <v>1030</v>
      </c>
      <c r="C32" s="448" t="s">
        <v>1723</v>
      </c>
      <c r="D32" s="66">
        <v>51</v>
      </c>
    </row>
    <row r="33" spans="1:4" x14ac:dyDescent="0.25">
      <c r="A33" s="66" t="s">
        <v>1943</v>
      </c>
      <c r="B33" s="450" t="s">
        <v>1031</v>
      </c>
      <c r="C33" s="66" t="s">
        <v>1724</v>
      </c>
      <c r="D33" s="66">
        <v>52</v>
      </c>
    </row>
    <row r="34" spans="1:4" x14ac:dyDescent="0.25">
      <c r="A34" s="66" t="s">
        <v>1944</v>
      </c>
      <c r="B34" s="450" t="s">
        <v>1032</v>
      </c>
      <c r="C34" s="66" t="s">
        <v>1725</v>
      </c>
      <c r="D34" s="66">
        <v>53</v>
      </c>
    </row>
    <row r="35" spans="1:4" x14ac:dyDescent="0.25">
      <c r="A35" s="66" t="s">
        <v>1945</v>
      </c>
      <c r="B35" s="450" t="s">
        <v>1033</v>
      </c>
      <c r="C35" s="66" t="s">
        <v>1726</v>
      </c>
      <c r="D35" s="66">
        <v>54</v>
      </c>
    </row>
    <row r="36" spans="1:4" x14ac:dyDescent="0.25">
      <c r="A36" s="66" t="s">
        <v>1946</v>
      </c>
      <c r="B36" s="450" t="s">
        <v>1034</v>
      </c>
      <c r="C36" s="66" t="s">
        <v>1727</v>
      </c>
      <c r="D36" s="66">
        <v>55</v>
      </c>
    </row>
    <row r="37" spans="1:4" x14ac:dyDescent="0.25">
      <c r="A37" s="66" t="s">
        <v>1947</v>
      </c>
      <c r="B37" s="450" t="s">
        <v>919</v>
      </c>
      <c r="C37" s="66" t="s">
        <v>1728</v>
      </c>
      <c r="D37" s="66">
        <v>56</v>
      </c>
    </row>
    <row r="38" spans="1:4" x14ac:dyDescent="0.25">
      <c r="A38" s="66" t="s">
        <v>1948</v>
      </c>
      <c r="B38" s="450" t="s">
        <v>920</v>
      </c>
      <c r="C38" s="66" t="s">
        <v>1729</v>
      </c>
      <c r="D38" s="66">
        <v>57</v>
      </c>
    </row>
    <row r="39" spans="1:4" x14ac:dyDescent="0.25">
      <c r="A39" s="66" t="s">
        <v>1949</v>
      </c>
      <c r="B39" s="450" t="s">
        <v>921</v>
      </c>
      <c r="C39" s="66" t="s">
        <v>1730</v>
      </c>
      <c r="D39" s="66">
        <v>58</v>
      </c>
    </row>
    <row r="40" spans="1:4" x14ac:dyDescent="0.25">
      <c r="A40" s="66" t="s">
        <v>1950</v>
      </c>
      <c r="B40" s="450" t="s">
        <v>922</v>
      </c>
      <c r="C40" s="66" t="s">
        <v>1731</v>
      </c>
      <c r="D40" s="66">
        <v>59</v>
      </c>
    </row>
    <row r="41" spans="1:4" x14ac:dyDescent="0.25">
      <c r="A41" s="66" t="s">
        <v>1951</v>
      </c>
      <c r="B41" s="450" t="s">
        <v>2000</v>
      </c>
      <c r="C41" s="66" t="s">
        <v>1732</v>
      </c>
      <c r="D41" s="66">
        <v>60</v>
      </c>
    </row>
    <row r="42" spans="1:4" x14ac:dyDescent="0.25">
      <c r="A42" s="66" t="s">
        <v>1952</v>
      </c>
      <c r="B42" s="450" t="s">
        <v>2001</v>
      </c>
      <c r="C42" s="66" t="s">
        <v>1733</v>
      </c>
      <c r="D42" s="66">
        <v>61</v>
      </c>
    </row>
    <row r="43" spans="1:4" x14ac:dyDescent="0.25">
      <c r="A43" s="66" t="s">
        <v>1953</v>
      </c>
      <c r="B43" s="450" t="s">
        <v>2002</v>
      </c>
      <c r="C43" s="66" t="s">
        <v>1734</v>
      </c>
      <c r="D43" s="66">
        <v>62</v>
      </c>
    </row>
    <row r="44" spans="1:4" x14ac:dyDescent="0.25">
      <c r="A44" s="66" t="s">
        <v>1954</v>
      </c>
      <c r="B44" s="450" t="s">
        <v>2003</v>
      </c>
      <c r="C44" s="66" t="s">
        <v>1735</v>
      </c>
      <c r="D44" s="66">
        <v>63</v>
      </c>
    </row>
    <row r="45" spans="1:4" x14ac:dyDescent="0.25">
      <c r="A45" s="66" t="s">
        <v>1955</v>
      </c>
      <c r="B45" s="450" t="s">
        <v>2004</v>
      </c>
      <c r="C45" s="66" t="s">
        <v>1736</v>
      </c>
      <c r="D45" s="66">
        <v>64</v>
      </c>
    </row>
    <row r="46" spans="1:4" x14ac:dyDescent="0.25">
      <c r="A46" s="66" t="s">
        <v>1956</v>
      </c>
      <c r="B46" s="450" t="s">
        <v>2005</v>
      </c>
      <c r="C46" s="66" t="s">
        <v>1737</v>
      </c>
      <c r="D46" s="66">
        <v>65</v>
      </c>
    </row>
    <row r="47" spans="1:4" x14ac:dyDescent="0.25">
      <c r="A47" s="66" t="s">
        <v>1957</v>
      </c>
      <c r="B47" s="450" t="s">
        <v>2006</v>
      </c>
      <c r="C47" s="66" t="s">
        <v>1738</v>
      </c>
      <c r="D47" s="66">
        <v>66</v>
      </c>
    </row>
    <row r="48" spans="1:4" x14ac:dyDescent="0.25">
      <c r="A48" s="66" t="s">
        <v>1088</v>
      </c>
      <c r="B48" s="450" t="s">
        <v>1089</v>
      </c>
      <c r="C48" s="66" t="s">
        <v>1739</v>
      </c>
      <c r="D48" s="66">
        <v>67</v>
      </c>
    </row>
    <row r="49" spans="1:4" x14ac:dyDescent="0.25">
      <c r="A49" s="66" t="s">
        <v>1090</v>
      </c>
      <c r="B49" s="450" t="s">
        <v>1091</v>
      </c>
      <c r="C49" s="66" t="s">
        <v>1740</v>
      </c>
      <c r="D49" s="66">
        <v>68</v>
      </c>
    </row>
    <row r="50" spans="1:4" x14ac:dyDescent="0.25">
      <c r="A50" s="66" t="s">
        <v>1092</v>
      </c>
      <c r="B50" s="450" t="s">
        <v>1093</v>
      </c>
      <c r="C50" s="66" t="s">
        <v>1741</v>
      </c>
      <c r="D50" s="66">
        <v>69</v>
      </c>
    </row>
    <row r="51" spans="1:4" x14ac:dyDescent="0.25">
      <c r="A51" s="66" t="s">
        <v>1094</v>
      </c>
      <c r="B51" s="450" t="s">
        <v>1095</v>
      </c>
      <c r="C51" s="66" t="s">
        <v>1742</v>
      </c>
      <c r="D51" s="66">
        <v>70</v>
      </c>
    </row>
    <row r="52" spans="1:4" x14ac:dyDescent="0.25">
      <c r="A52" s="66" t="s">
        <v>1096</v>
      </c>
      <c r="B52" s="450" t="s">
        <v>1097</v>
      </c>
      <c r="C52" s="66" t="s">
        <v>1743</v>
      </c>
      <c r="D52" s="66">
        <v>71</v>
      </c>
    </row>
    <row r="53" spans="1:4" x14ac:dyDescent="0.25">
      <c r="A53" s="66" t="s">
        <v>1958</v>
      </c>
      <c r="B53" s="450" t="s">
        <v>923</v>
      </c>
      <c r="C53" s="66" t="s">
        <v>1744</v>
      </c>
      <c r="D53" s="66">
        <v>72</v>
      </c>
    </row>
    <row r="54" spans="1:4" x14ac:dyDescent="0.25">
      <c r="A54" s="66" t="s">
        <v>1959</v>
      </c>
      <c r="B54" s="450" t="s">
        <v>924</v>
      </c>
      <c r="C54" s="66" t="s">
        <v>1745</v>
      </c>
      <c r="D54" s="66">
        <v>73</v>
      </c>
    </row>
    <row r="55" spans="1:4" x14ac:dyDescent="0.25">
      <c r="A55" s="66" t="s">
        <v>1960</v>
      </c>
      <c r="B55" s="450" t="s">
        <v>925</v>
      </c>
      <c r="C55" s="66" t="s">
        <v>1746</v>
      </c>
      <c r="D55" s="66">
        <v>74</v>
      </c>
    </row>
    <row r="56" spans="1:4" x14ac:dyDescent="0.25">
      <c r="A56" s="66" t="s">
        <v>1961</v>
      </c>
      <c r="B56" s="450" t="s">
        <v>926</v>
      </c>
      <c r="C56" s="66" t="s">
        <v>1747</v>
      </c>
      <c r="D56" s="66">
        <v>75</v>
      </c>
    </row>
    <row r="57" spans="1:4" x14ac:dyDescent="0.25">
      <c r="A57" s="66" t="s">
        <v>1098</v>
      </c>
      <c r="B57" s="450" t="s">
        <v>1099</v>
      </c>
      <c r="C57" s="66" t="s">
        <v>1748</v>
      </c>
      <c r="D57" s="66">
        <v>76</v>
      </c>
    </row>
    <row r="58" spans="1:4" x14ac:dyDescent="0.25">
      <c r="A58" s="66" t="s">
        <v>1962</v>
      </c>
      <c r="B58" s="450" t="s">
        <v>1100</v>
      </c>
      <c r="C58" s="66" t="s">
        <v>1749</v>
      </c>
      <c r="D58" s="66">
        <v>77</v>
      </c>
    </row>
    <row r="59" spans="1:4" x14ac:dyDescent="0.25">
      <c r="A59" s="66" t="s">
        <v>1963</v>
      </c>
      <c r="B59" s="450" t="s">
        <v>1101</v>
      </c>
      <c r="C59" s="66" t="s">
        <v>1750</v>
      </c>
      <c r="D59" s="66">
        <v>78</v>
      </c>
    </row>
    <row r="60" spans="1:4" x14ac:dyDescent="0.25">
      <c r="A60" s="66" t="s">
        <v>1964</v>
      </c>
      <c r="B60" s="450" t="s">
        <v>1102</v>
      </c>
      <c r="C60" s="66" t="s">
        <v>1751</v>
      </c>
      <c r="D60" s="66">
        <v>79</v>
      </c>
    </row>
    <row r="61" spans="1:4" x14ac:dyDescent="0.25">
      <c r="A61" s="66" t="s">
        <v>1965</v>
      </c>
      <c r="B61" s="450" t="s">
        <v>1103</v>
      </c>
      <c r="C61" s="66" t="s">
        <v>1752</v>
      </c>
      <c r="D61" s="66">
        <v>81</v>
      </c>
    </row>
    <row r="62" spans="1:4" x14ac:dyDescent="0.25">
      <c r="A62" s="66" t="s">
        <v>1966</v>
      </c>
      <c r="B62" s="450" t="s">
        <v>1104</v>
      </c>
      <c r="C62" s="66" t="s">
        <v>1753</v>
      </c>
      <c r="D62" s="66">
        <v>83</v>
      </c>
    </row>
    <row r="63" spans="1:4" x14ac:dyDescent="0.25">
      <c r="A63" s="66" t="s">
        <v>1967</v>
      </c>
      <c r="B63" s="450" t="s">
        <v>1105</v>
      </c>
      <c r="C63" s="66" t="s">
        <v>1754</v>
      </c>
      <c r="D63" s="66">
        <v>84</v>
      </c>
    </row>
    <row r="64" spans="1:4" x14ac:dyDescent="0.25">
      <c r="A64" s="66" t="s">
        <v>1968</v>
      </c>
      <c r="B64" s="450" t="s">
        <v>1106</v>
      </c>
      <c r="C64" s="66" t="s">
        <v>1755</v>
      </c>
      <c r="D64" s="66">
        <v>85</v>
      </c>
    </row>
    <row r="65" spans="1:4" x14ac:dyDescent="0.25">
      <c r="A65" s="66" t="s">
        <v>1969</v>
      </c>
      <c r="B65" s="450" t="s">
        <v>1107</v>
      </c>
      <c r="C65" s="66" t="s">
        <v>1756</v>
      </c>
      <c r="D65" s="66">
        <v>86</v>
      </c>
    </row>
    <row r="66" spans="1:4" x14ac:dyDescent="0.25">
      <c r="A66" s="66" t="s">
        <v>1970</v>
      </c>
      <c r="B66" s="450" t="s">
        <v>1108</v>
      </c>
      <c r="C66" s="66" t="s">
        <v>1757</v>
      </c>
      <c r="D66" s="66">
        <v>91</v>
      </c>
    </row>
    <row r="67" spans="1:4" x14ac:dyDescent="0.25">
      <c r="A67" s="66" t="s">
        <v>1109</v>
      </c>
      <c r="B67" s="450" t="s">
        <v>2007</v>
      </c>
      <c r="C67" s="66" t="s">
        <v>1758</v>
      </c>
      <c r="D67" s="66">
        <v>113</v>
      </c>
    </row>
    <row r="68" spans="1:4" x14ac:dyDescent="0.25">
      <c r="A68" s="66" t="s">
        <v>1759</v>
      </c>
      <c r="B68" s="450" t="s">
        <v>1760</v>
      </c>
      <c r="C68" s="66" t="s">
        <v>1761</v>
      </c>
      <c r="D68" s="66">
        <v>121</v>
      </c>
    </row>
    <row r="69" spans="1:4" x14ac:dyDescent="0.25">
      <c r="A69" s="66" t="s">
        <v>1971</v>
      </c>
      <c r="B69" s="450" t="s">
        <v>1972</v>
      </c>
      <c r="C69" s="66" t="s">
        <v>1973</v>
      </c>
      <c r="D69" s="66">
        <v>122</v>
      </c>
    </row>
    <row r="70" spans="1:4" x14ac:dyDescent="0.25">
      <c r="A70" s="66" t="s">
        <v>1974</v>
      </c>
      <c r="B70" s="450" t="s">
        <v>1975</v>
      </c>
      <c r="C70" s="66" t="s">
        <v>1976</v>
      </c>
      <c r="D70" s="66">
        <v>123</v>
      </c>
    </row>
    <row r="71" spans="1:4" x14ac:dyDescent="0.25">
      <c r="A71" s="66" t="s">
        <v>1977</v>
      </c>
      <c r="B71" s="450" t="s">
        <v>1978</v>
      </c>
      <c r="C71" s="66" t="s">
        <v>1979</v>
      </c>
      <c r="D71" s="66">
        <v>124</v>
      </c>
    </row>
    <row r="72" spans="1:4" x14ac:dyDescent="0.25">
      <c r="A72" s="66" t="s">
        <v>1762</v>
      </c>
      <c r="B72" s="450" t="s">
        <v>1763</v>
      </c>
      <c r="C72" s="66" t="s">
        <v>1764</v>
      </c>
      <c r="D72" s="66">
        <v>132</v>
      </c>
    </row>
    <row r="73" spans="1:4" x14ac:dyDescent="0.25">
      <c r="A73" s="66" t="s">
        <v>1765</v>
      </c>
      <c r="B73" s="450" t="s">
        <v>1766</v>
      </c>
      <c r="C73" s="66" t="s">
        <v>1767</v>
      </c>
      <c r="D73" s="66">
        <v>133</v>
      </c>
    </row>
    <row r="74" spans="1:4" x14ac:dyDescent="0.25">
      <c r="A74" s="66" t="s">
        <v>1768</v>
      </c>
      <c r="B74" s="450" t="s">
        <v>1769</v>
      </c>
      <c r="C74" s="66" t="s">
        <v>1770</v>
      </c>
      <c r="D74" s="66">
        <v>135</v>
      </c>
    </row>
    <row r="75" spans="1:4" x14ac:dyDescent="0.25">
      <c r="A75" s="66" t="s">
        <v>1771</v>
      </c>
      <c r="B75" s="450" t="s">
        <v>1772</v>
      </c>
      <c r="C75" s="66" t="s">
        <v>1773</v>
      </c>
      <c r="D75" s="66">
        <v>136</v>
      </c>
    </row>
    <row r="76" spans="1:4" x14ac:dyDescent="0.25">
      <c r="A76" s="66" t="s">
        <v>1774</v>
      </c>
      <c r="B76" s="450" t="s">
        <v>1775</v>
      </c>
      <c r="C76" s="66" t="s">
        <v>1776</v>
      </c>
      <c r="D76" s="66">
        <v>137</v>
      </c>
    </row>
    <row r="77" spans="1:4" x14ac:dyDescent="0.25">
      <c r="A77" s="66" t="s">
        <v>1777</v>
      </c>
      <c r="B77" s="450" t="s">
        <v>1778</v>
      </c>
      <c r="C77" s="66" t="s">
        <v>1779</v>
      </c>
      <c r="D77" s="66">
        <v>138</v>
      </c>
    </row>
    <row r="78" spans="1:4" x14ac:dyDescent="0.25">
      <c r="A78" s="66" t="s">
        <v>1780</v>
      </c>
      <c r="B78" s="450" t="s">
        <v>1781</v>
      </c>
      <c r="C78" s="66" t="s">
        <v>1782</v>
      </c>
      <c r="D78" s="66">
        <v>139</v>
      </c>
    </row>
    <row r="79" spans="1:4" x14ac:dyDescent="0.25">
      <c r="A79" s="66" t="s">
        <v>1783</v>
      </c>
      <c r="B79" s="450" t="s">
        <v>1784</v>
      </c>
      <c r="C79" s="66" t="s">
        <v>1785</v>
      </c>
      <c r="D79" s="66">
        <v>140</v>
      </c>
    </row>
    <row r="80" spans="1:4" x14ac:dyDescent="0.25">
      <c r="A80" s="66" t="s">
        <v>1786</v>
      </c>
      <c r="B80" s="450" t="s">
        <v>1787</v>
      </c>
      <c r="C80" s="66" t="s">
        <v>1788</v>
      </c>
      <c r="D80" s="66">
        <v>145</v>
      </c>
    </row>
    <row r="81" spans="1:4" x14ac:dyDescent="0.25">
      <c r="A81" s="66" t="s">
        <v>1789</v>
      </c>
      <c r="B81" s="450" t="s">
        <v>1790</v>
      </c>
      <c r="C81" s="66" t="s">
        <v>1791</v>
      </c>
      <c r="D81" s="66">
        <v>146</v>
      </c>
    </row>
    <row r="82" spans="1:4" x14ac:dyDescent="0.25">
      <c r="A82" s="66" t="s">
        <v>1792</v>
      </c>
      <c r="B82" s="450" t="s">
        <v>1793</v>
      </c>
      <c r="C82" s="66" t="s">
        <v>1794</v>
      </c>
      <c r="D82" s="66">
        <v>147</v>
      </c>
    </row>
    <row r="83" spans="1:4" x14ac:dyDescent="0.25">
      <c r="A83" s="66" t="s">
        <v>1795</v>
      </c>
      <c r="B83" s="450" t="s">
        <v>1796</v>
      </c>
      <c r="C83" s="66" t="s">
        <v>1797</v>
      </c>
      <c r="D83" s="66">
        <v>148</v>
      </c>
    </row>
    <row r="84" spans="1:4" x14ac:dyDescent="0.25">
      <c r="A84" s="66" t="s">
        <v>1798</v>
      </c>
      <c r="B84" s="450" t="s">
        <v>1799</v>
      </c>
      <c r="C84" s="66" t="s">
        <v>1800</v>
      </c>
      <c r="D84" s="66">
        <v>149</v>
      </c>
    </row>
    <row r="85" spans="1:4" x14ac:dyDescent="0.25">
      <c r="A85" s="66" t="s">
        <v>1801</v>
      </c>
      <c r="B85" s="450" t="s">
        <v>1802</v>
      </c>
      <c r="C85" s="66" t="s">
        <v>1803</v>
      </c>
      <c r="D85" s="66">
        <v>150</v>
      </c>
    </row>
    <row r="86" spans="1:4" x14ac:dyDescent="0.25">
      <c r="A86" s="66" t="s">
        <v>1804</v>
      </c>
      <c r="B86" s="450" t="s">
        <v>1805</v>
      </c>
      <c r="C86" s="66" t="s">
        <v>1806</v>
      </c>
      <c r="D86" s="66">
        <v>151</v>
      </c>
    </row>
    <row r="87" spans="1:4" x14ac:dyDescent="0.25">
      <c r="A87" s="66" t="s">
        <v>1807</v>
      </c>
      <c r="B87" s="450" t="s">
        <v>1808</v>
      </c>
      <c r="C87" s="66" t="s">
        <v>1809</v>
      </c>
      <c r="D87" s="66">
        <v>159</v>
      </c>
    </row>
    <row r="88" spans="1:4" x14ac:dyDescent="0.25">
      <c r="A88" s="66" t="s">
        <v>1810</v>
      </c>
      <c r="B88" s="450" t="s">
        <v>1811</v>
      </c>
      <c r="C88" s="66" t="s">
        <v>1812</v>
      </c>
      <c r="D88" s="66">
        <v>160</v>
      </c>
    </row>
    <row r="89" spans="1:4" x14ac:dyDescent="0.25">
      <c r="A89" s="66" t="s">
        <v>1813</v>
      </c>
      <c r="B89" s="450" t="s">
        <v>1814</v>
      </c>
      <c r="C89" s="66" t="s">
        <v>1815</v>
      </c>
      <c r="D89" s="66">
        <v>161</v>
      </c>
    </row>
    <row r="90" spans="1:4" x14ac:dyDescent="0.25">
      <c r="A90" s="66" t="s">
        <v>1816</v>
      </c>
      <c r="B90" s="450" t="s">
        <v>1817</v>
      </c>
      <c r="C90" s="66" t="s">
        <v>1818</v>
      </c>
      <c r="D90" s="66">
        <v>162</v>
      </c>
    </row>
    <row r="91" spans="1:4" x14ac:dyDescent="0.25">
      <c r="A91" s="66" t="s">
        <v>1819</v>
      </c>
      <c r="B91" s="450" t="s">
        <v>1820</v>
      </c>
      <c r="C91" s="66" t="s">
        <v>1821</v>
      </c>
      <c r="D91" s="66">
        <v>163</v>
      </c>
    </row>
    <row r="92" spans="1:4" x14ac:dyDescent="0.25">
      <c r="A92" s="66" t="s">
        <v>1822</v>
      </c>
      <c r="B92" s="450" t="s">
        <v>1823</v>
      </c>
      <c r="C92" s="66" t="s">
        <v>1824</v>
      </c>
      <c r="D92" s="66">
        <v>164</v>
      </c>
    </row>
    <row r="93" spans="1:4" x14ac:dyDescent="0.25">
      <c r="A93" s="66" t="s">
        <v>1825</v>
      </c>
      <c r="B93" s="450" t="s">
        <v>1826</v>
      </c>
      <c r="C93" s="66" t="s">
        <v>1827</v>
      </c>
      <c r="D93" s="66">
        <v>170</v>
      </c>
    </row>
    <row r="94" spans="1:4" x14ac:dyDescent="0.25">
      <c r="A94" s="66" t="s">
        <v>1828</v>
      </c>
      <c r="B94" s="450" t="s">
        <v>1829</v>
      </c>
      <c r="C94" s="66" t="s">
        <v>1830</v>
      </c>
      <c r="D94" s="66">
        <v>172</v>
      </c>
    </row>
    <row r="95" spans="1:4" x14ac:dyDescent="0.25">
      <c r="A95" s="66" t="s">
        <v>1831</v>
      </c>
      <c r="B95" s="450" t="s">
        <v>1832</v>
      </c>
      <c r="C95" s="66" t="s">
        <v>1833</v>
      </c>
      <c r="D95" s="66">
        <v>174</v>
      </c>
    </row>
    <row r="96" spans="1:4" x14ac:dyDescent="0.25">
      <c r="A96" s="66" t="s">
        <v>1834</v>
      </c>
      <c r="B96" s="450" t="s">
        <v>1835</v>
      </c>
      <c r="C96" s="66" t="s">
        <v>1836</v>
      </c>
      <c r="D96" s="66">
        <v>175</v>
      </c>
    </row>
    <row r="97" spans="1:4" x14ac:dyDescent="0.25">
      <c r="A97" s="66" t="s">
        <v>1837</v>
      </c>
      <c r="B97" s="450" t="s">
        <v>1838</v>
      </c>
      <c r="C97" s="66" t="s">
        <v>1839</v>
      </c>
      <c r="D97" s="66">
        <v>176</v>
      </c>
    </row>
    <row r="98" spans="1:4" x14ac:dyDescent="0.25">
      <c r="A98" s="66" t="s">
        <v>1840</v>
      </c>
      <c r="B98" s="450" t="s">
        <v>1841</v>
      </c>
      <c r="C98" s="66" t="s">
        <v>1842</v>
      </c>
      <c r="D98" s="66">
        <v>178</v>
      </c>
    </row>
    <row r="99" spans="1:4" x14ac:dyDescent="0.25">
      <c r="A99" s="66" t="s">
        <v>1980</v>
      </c>
      <c r="B99" s="450" t="s">
        <v>1919</v>
      </c>
      <c r="C99" s="66" t="s">
        <v>1866</v>
      </c>
      <c r="D99" s="66">
        <v>179</v>
      </c>
    </row>
    <row r="100" spans="1:4" x14ac:dyDescent="0.25">
      <c r="A100" s="66" t="s">
        <v>1981</v>
      </c>
      <c r="B100" s="450" t="s">
        <v>1918</v>
      </c>
      <c r="C100" s="66" t="s">
        <v>1867</v>
      </c>
      <c r="D100" s="66">
        <v>181</v>
      </c>
    </row>
    <row r="101" spans="1:4" x14ac:dyDescent="0.25">
      <c r="A101" s="66" t="s">
        <v>1868</v>
      </c>
      <c r="B101" s="450" t="s">
        <v>1869</v>
      </c>
      <c r="C101" s="66" t="s">
        <v>1870</v>
      </c>
      <c r="D101" s="66">
        <v>182</v>
      </c>
    </row>
    <row r="102" spans="1:4" x14ac:dyDescent="0.25">
      <c r="A102" s="66" t="s">
        <v>1871</v>
      </c>
      <c r="B102" s="450" t="s">
        <v>1872</v>
      </c>
      <c r="C102" s="66" t="s">
        <v>1873</v>
      </c>
      <c r="D102" s="66">
        <v>183</v>
      </c>
    </row>
    <row r="103" spans="1:4" x14ac:dyDescent="0.25">
      <c r="A103" s="66" t="s">
        <v>1874</v>
      </c>
      <c r="B103" s="450" t="s">
        <v>1875</v>
      </c>
      <c r="C103" s="66" t="s">
        <v>1876</v>
      </c>
      <c r="D103" s="66">
        <v>184</v>
      </c>
    </row>
    <row r="104" spans="1:4" x14ac:dyDescent="0.25">
      <c r="A104" s="66" t="s">
        <v>1877</v>
      </c>
      <c r="B104" s="450" t="s">
        <v>1878</v>
      </c>
      <c r="C104" s="66" t="s">
        <v>1879</v>
      </c>
      <c r="D104" s="66">
        <v>185</v>
      </c>
    </row>
    <row r="105" spans="1:4" x14ac:dyDescent="0.25">
      <c r="A105" s="66" t="s">
        <v>1880</v>
      </c>
      <c r="B105" s="450" t="s">
        <v>1881</v>
      </c>
      <c r="C105" s="66" t="s">
        <v>1882</v>
      </c>
      <c r="D105" s="66">
        <v>186</v>
      </c>
    </row>
    <row r="106" spans="1:4" x14ac:dyDescent="0.25">
      <c r="A106" s="66" t="s">
        <v>1883</v>
      </c>
      <c r="B106" s="450" t="s">
        <v>1884</v>
      </c>
      <c r="C106" s="66" t="s">
        <v>1885</v>
      </c>
      <c r="D106" s="66">
        <v>187</v>
      </c>
    </row>
    <row r="107" spans="1:4" x14ac:dyDescent="0.25">
      <c r="A107" s="66" t="s">
        <v>1886</v>
      </c>
      <c r="B107" s="450" t="s">
        <v>1887</v>
      </c>
      <c r="C107" s="66" t="s">
        <v>1888</v>
      </c>
      <c r="D107" s="66">
        <v>188</v>
      </c>
    </row>
    <row r="108" spans="1:4" x14ac:dyDescent="0.25">
      <c r="A108" s="66" t="s">
        <v>1889</v>
      </c>
      <c r="B108" s="450" t="s">
        <v>1890</v>
      </c>
      <c r="C108" s="66" t="s">
        <v>1891</v>
      </c>
      <c r="D108" s="66">
        <v>189</v>
      </c>
    </row>
    <row r="109" spans="1:4" x14ac:dyDescent="0.25">
      <c r="A109" s="66" t="s">
        <v>1892</v>
      </c>
      <c r="B109" s="450" t="s">
        <v>1893</v>
      </c>
      <c r="C109" s="66" t="s">
        <v>1894</v>
      </c>
      <c r="D109" s="66">
        <v>190</v>
      </c>
    </row>
    <row r="110" spans="1:4" x14ac:dyDescent="0.25">
      <c r="A110" s="66" t="s">
        <v>1895</v>
      </c>
      <c r="B110" s="450" t="s">
        <v>1896</v>
      </c>
      <c r="C110" s="66" t="s">
        <v>1897</v>
      </c>
      <c r="D110" s="66">
        <v>191</v>
      </c>
    </row>
    <row r="111" spans="1:4" x14ac:dyDescent="0.25">
      <c r="A111" s="66" t="s">
        <v>1898</v>
      </c>
      <c r="B111" s="450" t="s">
        <v>1899</v>
      </c>
      <c r="C111" s="66" t="s">
        <v>1900</v>
      </c>
      <c r="D111" s="66">
        <v>192</v>
      </c>
    </row>
    <row r="112" spans="1:4" x14ac:dyDescent="0.25">
      <c r="A112" s="66" t="s">
        <v>1982</v>
      </c>
      <c r="B112" s="450" t="s">
        <v>2008</v>
      </c>
      <c r="C112" s="66" t="s">
        <v>1983</v>
      </c>
      <c r="D112" s="66">
        <v>193</v>
      </c>
    </row>
    <row r="113" spans="1:4" x14ac:dyDescent="0.25">
      <c r="A113" s="66" t="s">
        <v>1984</v>
      </c>
      <c r="B113" s="450" t="s">
        <v>1985</v>
      </c>
      <c r="C113" s="66" t="s">
        <v>1986</v>
      </c>
      <c r="D113" s="66">
        <v>194</v>
      </c>
    </row>
    <row r="114" spans="1:4" x14ac:dyDescent="0.25">
      <c r="A114" s="66" t="s">
        <v>1987</v>
      </c>
      <c r="B114" s="450" t="s">
        <v>1988</v>
      </c>
      <c r="C114" s="66" t="s">
        <v>1989</v>
      </c>
      <c r="D114" s="66">
        <v>195</v>
      </c>
    </row>
    <row r="115" spans="1:4" x14ac:dyDescent="0.25">
      <c r="A115" s="66" t="s">
        <v>1990</v>
      </c>
      <c r="B115" s="450" t="s">
        <v>1991</v>
      </c>
      <c r="C115" s="66" t="s">
        <v>1992</v>
      </c>
      <c r="D115" s="66">
        <v>196</v>
      </c>
    </row>
    <row r="116" spans="1:4" x14ac:dyDescent="0.25">
      <c r="A116" s="66" t="s">
        <v>1993</v>
      </c>
      <c r="B116" s="450" t="s">
        <v>2009</v>
      </c>
      <c r="C116" s="66" t="s">
        <v>1994</v>
      </c>
      <c r="D116" s="66">
        <v>197</v>
      </c>
    </row>
    <row r="117" spans="1:4" x14ac:dyDescent="0.25">
      <c r="A117" s="66" t="s">
        <v>1993</v>
      </c>
      <c r="B117" s="450" t="s">
        <v>2010</v>
      </c>
      <c r="C117" s="66" t="s">
        <v>1995</v>
      </c>
      <c r="D117" s="66">
        <v>198</v>
      </c>
    </row>
    <row r="118" spans="1:4" x14ac:dyDescent="0.25">
      <c r="A118" s="66" t="s">
        <v>1996</v>
      </c>
      <c r="B118" s="450" t="s">
        <v>2011</v>
      </c>
      <c r="C118" s="66" t="s">
        <v>1997</v>
      </c>
      <c r="D118" s="66">
        <v>199</v>
      </c>
    </row>
    <row r="119" spans="1:4" x14ac:dyDescent="0.25">
      <c r="A119" s="66" t="s">
        <v>1993</v>
      </c>
      <c r="B119" s="450" t="s">
        <v>2012</v>
      </c>
      <c r="C119" s="66" t="s">
        <v>1998</v>
      </c>
      <c r="D119" s="66">
        <v>200</v>
      </c>
    </row>
    <row r="120" spans="1:4" x14ac:dyDescent="0.25">
      <c r="A120" s="66" t="s">
        <v>1996</v>
      </c>
      <c r="B120" s="450" t="s">
        <v>2013</v>
      </c>
      <c r="C120" s="66" t="s">
        <v>1999</v>
      </c>
      <c r="D120" s="66">
        <v>201</v>
      </c>
    </row>
  </sheetData>
  <sheetProtection algorithmName="SHA-512" hashValue="1gqJyESxkOCD9yXMDbPhI4vLNvLaHSNkj3O9NKvGwVp1+gwUh/BRlr4l2aWQaSAN1KIAgFDII3W9u+H+EpjKYQ==" saltValue="tuQwqaVcxst0yiBK+oETRA==" spinCount="100000" sheet="1" objects="1" scenarios="1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M14"/>
  <sheetViews>
    <sheetView workbookViewId="0">
      <selection activeCell="C12" sqref="C12"/>
    </sheetView>
  </sheetViews>
  <sheetFormatPr defaultColWidth="17.140625" defaultRowHeight="15.75" x14ac:dyDescent="0.25"/>
  <cols>
    <col min="1" max="1" width="47.28515625" style="50" customWidth="1"/>
    <col min="2" max="2" width="7.5703125" style="50" customWidth="1"/>
    <col min="3" max="3" width="26.7109375" style="50" customWidth="1"/>
    <col min="4" max="4" width="39.42578125" style="50" customWidth="1"/>
    <col min="5" max="8" width="16.7109375" style="50" bestFit="1" customWidth="1"/>
    <col min="9" max="9" width="5" style="49" customWidth="1"/>
    <col min="10" max="10" width="47.7109375" style="49" bestFit="1" customWidth="1"/>
    <col min="11" max="11" width="26.28515625" style="50" customWidth="1"/>
    <col min="12" max="12" width="27.42578125" style="50" customWidth="1"/>
    <col min="13" max="13" width="23.5703125" style="50" bestFit="1" customWidth="1"/>
    <col min="14" max="14" width="20.85546875" style="50" customWidth="1"/>
    <col min="15" max="15" width="8" style="50" customWidth="1"/>
    <col min="16" max="16" width="17.140625" style="50"/>
    <col min="17" max="17" width="21.5703125" style="50" customWidth="1"/>
    <col min="18" max="19" width="17.140625" style="50"/>
    <col min="20" max="20" width="7.5703125" style="50" customWidth="1"/>
    <col min="21" max="24" width="17.140625" style="50"/>
    <col min="25" max="25" width="7.5703125" style="50" customWidth="1"/>
    <col min="26" max="29" width="17.140625" style="50"/>
    <col min="30" max="30" width="2.85546875" style="50" customWidth="1"/>
    <col min="31" max="31" width="17.140625" style="50"/>
    <col min="32" max="32" width="10" style="50" customWidth="1"/>
    <col min="33" max="33" width="5" style="50" customWidth="1"/>
    <col min="34" max="35" width="17.140625" style="50"/>
    <col min="36" max="36" width="6.42578125" style="50" customWidth="1"/>
    <col min="37" max="37" width="28.5703125" style="50" customWidth="1"/>
    <col min="38" max="38" width="31.140625" style="50" customWidth="1"/>
    <col min="39" max="39" width="22.5703125" style="50" customWidth="1"/>
    <col min="40" max="16384" width="17.140625" style="50"/>
  </cols>
  <sheetData>
    <row r="1" spans="1:39" s="47" customFormat="1" x14ac:dyDescent="0.25">
      <c r="A1" s="41" t="s">
        <v>224</v>
      </c>
      <c r="B1" s="42"/>
      <c r="C1" s="42" t="s">
        <v>226</v>
      </c>
      <c r="D1" s="42" t="s">
        <v>291</v>
      </c>
      <c r="E1" s="42" t="s">
        <v>292</v>
      </c>
      <c r="F1" s="42" t="s">
        <v>293</v>
      </c>
      <c r="G1" s="42" t="s">
        <v>294</v>
      </c>
      <c r="H1" s="42" t="s">
        <v>295</v>
      </c>
      <c r="I1" s="43"/>
      <c r="J1" s="44" t="s">
        <v>230</v>
      </c>
      <c r="K1" s="44" t="s">
        <v>234</v>
      </c>
      <c r="L1" s="44" t="s">
        <v>235</v>
      </c>
      <c r="M1" s="44" t="s">
        <v>236</v>
      </c>
      <c r="N1" s="44" t="s">
        <v>240</v>
      </c>
      <c r="O1" s="45"/>
      <c r="P1" s="46" t="s">
        <v>244</v>
      </c>
      <c r="Q1" s="46" t="s">
        <v>248</v>
      </c>
      <c r="R1" s="46" t="s">
        <v>249</v>
      </c>
      <c r="S1" s="46" t="s">
        <v>250</v>
      </c>
      <c r="T1" s="51"/>
      <c r="U1" s="51" t="s">
        <v>258</v>
      </c>
      <c r="V1" s="51" t="s">
        <v>262</v>
      </c>
      <c r="W1" s="51" t="s">
        <v>265</v>
      </c>
      <c r="X1" s="51" t="s">
        <v>266</v>
      </c>
      <c r="Z1" s="52" t="s">
        <v>267</v>
      </c>
      <c r="AA1" s="52" t="s">
        <v>271</v>
      </c>
      <c r="AB1" s="52" t="s">
        <v>272</v>
      </c>
      <c r="AC1" s="52" t="s">
        <v>273</v>
      </c>
      <c r="AE1" s="53" t="s">
        <v>284</v>
      </c>
      <c r="AF1" s="53" t="s">
        <v>286</v>
      </c>
      <c r="AH1" s="54" t="s">
        <v>285</v>
      </c>
      <c r="AI1" s="54" t="s">
        <v>287</v>
      </c>
      <c r="AK1" s="257" t="s">
        <v>1319</v>
      </c>
      <c r="AL1" s="257" t="s">
        <v>1321</v>
      </c>
      <c r="AM1" s="257" t="s">
        <v>1320</v>
      </c>
    </row>
    <row r="2" spans="1:39" s="59" customFormat="1" x14ac:dyDescent="0.25">
      <c r="A2" s="57" t="s">
        <v>308</v>
      </c>
      <c r="B2" s="58"/>
      <c r="C2" s="57" t="s">
        <v>308</v>
      </c>
      <c r="D2" s="57" t="s">
        <v>308</v>
      </c>
      <c r="E2" s="57" t="s">
        <v>308</v>
      </c>
      <c r="F2" s="57" t="s">
        <v>308</v>
      </c>
      <c r="G2" s="57" t="s">
        <v>308</v>
      </c>
      <c r="H2" s="57" t="s">
        <v>308</v>
      </c>
      <c r="I2" s="57"/>
      <c r="J2" s="57" t="s">
        <v>308</v>
      </c>
      <c r="K2" s="57" t="s">
        <v>308</v>
      </c>
      <c r="L2" s="57" t="s">
        <v>308</v>
      </c>
      <c r="M2" s="57" t="s">
        <v>308</v>
      </c>
      <c r="N2" s="57" t="s">
        <v>308</v>
      </c>
      <c r="O2" s="57"/>
      <c r="P2" s="57" t="s">
        <v>308</v>
      </c>
      <c r="Q2" s="57" t="s">
        <v>308</v>
      </c>
      <c r="R2" s="57" t="s">
        <v>308</v>
      </c>
      <c r="S2" s="57" t="s">
        <v>308</v>
      </c>
      <c r="T2" s="57"/>
      <c r="U2" s="57" t="s">
        <v>308</v>
      </c>
      <c r="V2" s="57" t="s">
        <v>308</v>
      </c>
      <c r="W2" s="57" t="s">
        <v>308</v>
      </c>
      <c r="X2" s="57" t="s">
        <v>308</v>
      </c>
      <c r="Y2" s="57"/>
      <c r="Z2" s="57" t="s">
        <v>308</v>
      </c>
      <c r="AA2" s="57" t="s">
        <v>308</v>
      </c>
      <c r="AB2" s="57" t="s">
        <v>308</v>
      </c>
      <c r="AC2" s="57" t="s">
        <v>308</v>
      </c>
      <c r="AD2" s="57"/>
      <c r="AE2" s="57" t="s">
        <v>308</v>
      </c>
      <c r="AF2" s="57" t="s">
        <v>308</v>
      </c>
      <c r="AG2" s="57"/>
      <c r="AH2" s="57" t="s">
        <v>308</v>
      </c>
      <c r="AI2" s="57" t="s">
        <v>308</v>
      </c>
      <c r="AK2" s="256" t="s">
        <v>1322</v>
      </c>
      <c r="AL2" s="256" t="s">
        <v>1323</v>
      </c>
      <c r="AM2" s="256" t="s">
        <v>1323</v>
      </c>
    </row>
    <row r="3" spans="1:39" ht="110.25" x14ac:dyDescent="0.25">
      <c r="A3" t="s">
        <v>288</v>
      </c>
      <c r="B3" s="48">
        <v>1</v>
      </c>
      <c r="C3" s="49" t="s">
        <v>290</v>
      </c>
      <c r="D3" s="49" t="s">
        <v>229</v>
      </c>
      <c r="E3" s="49" t="s">
        <v>229</v>
      </c>
      <c r="F3" s="49" t="s">
        <v>229</v>
      </c>
      <c r="G3" s="49" t="s">
        <v>297</v>
      </c>
      <c r="H3" s="49" t="s">
        <v>229</v>
      </c>
      <c r="I3" s="49">
        <v>1</v>
      </c>
      <c r="J3" s="49" t="s">
        <v>231</v>
      </c>
      <c r="K3" s="49" t="s">
        <v>237</v>
      </c>
      <c r="L3" s="49" t="s">
        <v>300</v>
      </c>
      <c r="M3" s="49" t="s">
        <v>241</v>
      </c>
      <c r="N3" s="49" t="s">
        <v>229</v>
      </c>
      <c r="O3" s="49">
        <v>1</v>
      </c>
      <c r="P3" s="55" t="s">
        <v>245</v>
      </c>
      <c r="Q3" s="49" t="s">
        <v>251</v>
      </c>
      <c r="R3" s="49" t="s">
        <v>255</v>
      </c>
      <c r="S3" s="50" t="s">
        <v>229</v>
      </c>
      <c r="T3" s="50">
        <v>1</v>
      </c>
      <c r="U3" s="49" t="s">
        <v>259</v>
      </c>
      <c r="V3" s="49" t="s">
        <v>263</v>
      </c>
      <c r="W3" s="50" t="s">
        <v>229</v>
      </c>
      <c r="X3" s="50" t="s">
        <v>229</v>
      </c>
      <c r="Y3" s="50">
        <v>1</v>
      </c>
      <c r="Z3" s="49" t="s">
        <v>268</v>
      </c>
      <c r="AA3" s="49" t="s">
        <v>274</v>
      </c>
      <c r="AB3" s="49" t="s">
        <v>277</v>
      </c>
      <c r="AC3" s="49" t="s">
        <v>282</v>
      </c>
      <c r="AE3" s="49" t="s">
        <v>92</v>
      </c>
      <c r="AF3" s="49" t="s">
        <v>229</v>
      </c>
      <c r="AG3" s="49"/>
      <c r="AH3" s="49" t="s">
        <v>95</v>
      </c>
      <c r="AI3" s="50" t="s">
        <v>229</v>
      </c>
      <c r="AK3" s="256" t="s">
        <v>1326</v>
      </c>
      <c r="AL3" s="256" t="s">
        <v>1324</v>
      </c>
      <c r="AM3" s="256" t="s">
        <v>1324</v>
      </c>
    </row>
    <row r="4" spans="1:39" ht="63" x14ac:dyDescent="0.25">
      <c r="A4" t="s">
        <v>1318</v>
      </c>
      <c r="B4" s="48">
        <v>2</v>
      </c>
      <c r="C4" s="49" t="s">
        <v>289</v>
      </c>
      <c r="D4" s="49"/>
      <c r="E4" s="49"/>
      <c r="F4" s="49"/>
      <c r="G4" s="49" t="s">
        <v>298</v>
      </c>
      <c r="H4" s="49"/>
      <c r="I4" s="49">
        <v>2</v>
      </c>
      <c r="J4" s="49" t="s">
        <v>307</v>
      </c>
      <c r="K4" s="49" t="s">
        <v>238</v>
      </c>
      <c r="L4" s="49" t="s">
        <v>301</v>
      </c>
      <c r="M4" s="49" t="s">
        <v>242</v>
      </c>
      <c r="N4" s="49"/>
      <c r="O4" s="49">
        <v>2</v>
      </c>
      <c r="P4" s="55" t="s">
        <v>246</v>
      </c>
      <c r="Q4" s="49" t="s">
        <v>252</v>
      </c>
      <c r="R4" s="49" t="s">
        <v>256</v>
      </c>
      <c r="T4" s="50">
        <v>2</v>
      </c>
      <c r="U4" s="49" t="s">
        <v>260</v>
      </c>
      <c r="V4" s="49" t="s">
        <v>264</v>
      </c>
      <c r="Y4" s="50">
        <v>2</v>
      </c>
      <c r="Z4" s="49" t="s">
        <v>269</v>
      </c>
      <c r="AA4" s="49" t="s">
        <v>275</v>
      </c>
      <c r="AB4" s="49" t="s">
        <v>278</v>
      </c>
      <c r="AC4" s="49" t="s">
        <v>283</v>
      </c>
      <c r="AL4" s="256" t="s">
        <v>1325</v>
      </c>
      <c r="AM4" s="256" t="s">
        <v>1325</v>
      </c>
    </row>
    <row r="5" spans="1:39" ht="31.5" x14ac:dyDescent="0.25">
      <c r="A5" t="s">
        <v>188</v>
      </c>
      <c r="B5" s="48">
        <v>3</v>
      </c>
      <c r="C5" s="49" t="s">
        <v>227</v>
      </c>
      <c r="D5" s="49"/>
      <c r="E5" s="49"/>
      <c r="F5" s="49"/>
      <c r="G5" s="49" t="s">
        <v>299</v>
      </c>
      <c r="H5" s="49"/>
      <c r="I5" s="49">
        <v>3</v>
      </c>
      <c r="J5" s="49" t="s">
        <v>232</v>
      </c>
      <c r="K5" s="49" t="s">
        <v>239</v>
      </c>
      <c r="L5" s="49" t="s">
        <v>302</v>
      </c>
      <c r="M5" s="49" t="s">
        <v>243</v>
      </c>
      <c r="N5" s="49"/>
      <c r="O5" s="49">
        <v>3</v>
      </c>
      <c r="P5" s="55" t="s">
        <v>247</v>
      </c>
      <c r="Q5" s="49" t="s">
        <v>253</v>
      </c>
      <c r="R5" s="49" t="s">
        <v>257</v>
      </c>
      <c r="T5" s="50">
        <v>3</v>
      </c>
      <c r="U5" s="49" t="s">
        <v>261</v>
      </c>
      <c r="Y5" s="50">
        <v>3</v>
      </c>
      <c r="Z5" s="49" t="s">
        <v>270</v>
      </c>
      <c r="AA5" s="49" t="s">
        <v>276</v>
      </c>
      <c r="AB5" s="49" t="s">
        <v>279</v>
      </c>
      <c r="AC5" s="49"/>
    </row>
    <row r="6" spans="1:39" ht="47.25" x14ac:dyDescent="0.25">
      <c r="A6" t="s">
        <v>220</v>
      </c>
      <c r="B6" s="48">
        <v>4</v>
      </c>
      <c r="C6" s="49" t="s">
        <v>296</v>
      </c>
      <c r="D6" s="49"/>
      <c r="E6" s="49"/>
      <c r="F6" s="49"/>
      <c r="G6" s="49"/>
      <c r="H6" s="49"/>
      <c r="I6" s="49">
        <v>4</v>
      </c>
      <c r="J6" s="49" t="s">
        <v>233</v>
      </c>
      <c r="K6" s="49"/>
      <c r="L6" s="49" t="s">
        <v>303</v>
      </c>
      <c r="M6" s="49"/>
      <c r="N6" s="49"/>
      <c r="O6" s="49"/>
      <c r="P6" s="55"/>
      <c r="Q6" s="49" t="s">
        <v>254</v>
      </c>
      <c r="R6" s="49"/>
      <c r="Z6" s="49"/>
      <c r="AA6" s="49"/>
      <c r="AB6" s="49" t="s">
        <v>280</v>
      </c>
      <c r="AC6" s="49"/>
    </row>
    <row r="7" spans="1:39" ht="31.5" x14ac:dyDescent="0.25">
      <c r="A7" t="s">
        <v>221</v>
      </c>
      <c r="B7" s="48">
        <v>5</v>
      </c>
      <c r="C7" s="49" t="s">
        <v>228</v>
      </c>
      <c r="D7" s="49"/>
      <c r="E7" s="49"/>
      <c r="F7" s="49"/>
      <c r="G7" s="49"/>
      <c r="H7" s="49"/>
      <c r="J7" s="50"/>
      <c r="L7" s="49" t="s">
        <v>304</v>
      </c>
      <c r="P7" s="49"/>
      <c r="Z7" s="49"/>
      <c r="AA7" s="49"/>
      <c r="AB7" s="49" t="s">
        <v>281</v>
      </c>
      <c r="AC7" s="49"/>
    </row>
    <row r="8" spans="1:39" ht="47.25" x14ac:dyDescent="0.25">
      <c r="A8" t="s">
        <v>180</v>
      </c>
      <c r="B8" s="48"/>
      <c r="C8" s="49"/>
      <c r="D8" s="49"/>
      <c r="E8" s="49"/>
      <c r="F8" s="49"/>
      <c r="G8" s="49"/>
      <c r="H8" s="49"/>
      <c r="L8" s="49" t="s">
        <v>305</v>
      </c>
      <c r="P8" s="49"/>
      <c r="Z8" s="49"/>
    </row>
    <row r="9" spans="1:39" ht="31.5" x14ac:dyDescent="0.25">
      <c r="A9" t="s">
        <v>222</v>
      </c>
      <c r="B9" s="48"/>
      <c r="D9" s="49"/>
      <c r="E9" s="49"/>
      <c r="F9" s="49"/>
      <c r="G9" s="49"/>
      <c r="H9" s="49"/>
      <c r="L9" s="49" t="s">
        <v>306</v>
      </c>
      <c r="P9" s="49"/>
      <c r="Z9" s="49"/>
    </row>
    <row r="10" spans="1:39" x14ac:dyDescent="0.25">
      <c r="A10" t="s">
        <v>223</v>
      </c>
      <c r="P10" s="49"/>
      <c r="Z10" s="49"/>
    </row>
    <row r="11" spans="1:39" x14ac:dyDescent="0.25">
      <c r="A11" t="s">
        <v>1053</v>
      </c>
      <c r="P11" s="49"/>
      <c r="Z11" s="49"/>
    </row>
    <row r="12" spans="1:39" x14ac:dyDescent="0.25">
      <c r="Z12" s="49"/>
    </row>
    <row r="13" spans="1:39" x14ac:dyDescent="0.25">
      <c r="Z13" s="49"/>
    </row>
    <row r="14" spans="1:39" x14ac:dyDescent="0.25">
      <c r="Z14" s="49"/>
    </row>
  </sheetData>
  <sheetProtection algorithmName="SHA-512" hashValue="+WTd5bu3LVYUUVwfj8xLNQllozbnHdwhKEirOo3+kGZ+FsNocrcYLchG7XGJ9ON3HxiPbnSXssRdid35L7+B/Q==" saltValue="vxjq7RJOnL8pcidvyO52w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"/>
  <dimension ref="A1:D194"/>
  <sheetViews>
    <sheetView workbookViewId="0">
      <selection activeCell="A2" sqref="A2"/>
    </sheetView>
  </sheetViews>
  <sheetFormatPr defaultColWidth="83" defaultRowHeight="15" x14ac:dyDescent="0.25"/>
  <cols>
    <col min="1" max="1" width="68.28515625" customWidth="1"/>
    <col min="2" max="2" width="40.140625" bestFit="1" customWidth="1"/>
    <col min="3" max="3" width="12.7109375" customWidth="1"/>
    <col min="4" max="4" width="11.140625" customWidth="1"/>
  </cols>
  <sheetData>
    <row r="1" spans="1:4" ht="15.75" x14ac:dyDescent="0.3">
      <c r="A1" s="263" t="s">
        <v>1405</v>
      </c>
      <c r="B1" s="263" t="s">
        <v>1404</v>
      </c>
      <c r="C1" s="263" t="s">
        <v>1406</v>
      </c>
      <c r="D1" s="264" t="s">
        <v>1843</v>
      </c>
    </row>
    <row r="2" spans="1:4" x14ac:dyDescent="0.25">
      <c r="A2" t="s">
        <v>1616</v>
      </c>
      <c r="B2" t="s">
        <v>1615</v>
      </c>
      <c r="C2">
        <v>1</v>
      </c>
      <c r="D2">
        <v>1</v>
      </c>
    </row>
    <row r="3" spans="1:4" x14ac:dyDescent="0.25">
      <c r="A3" t="s">
        <v>1662</v>
      </c>
      <c r="B3" s="273" t="s">
        <v>1661</v>
      </c>
      <c r="C3">
        <v>1</v>
      </c>
      <c r="D3">
        <v>0</v>
      </c>
    </row>
    <row r="4" spans="1:4" x14ac:dyDescent="0.25">
      <c r="A4" t="s">
        <v>1526</v>
      </c>
      <c r="B4" t="s">
        <v>1525</v>
      </c>
      <c r="C4">
        <v>1</v>
      </c>
      <c r="D4">
        <v>0</v>
      </c>
    </row>
    <row r="5" spans="1:4" x14ac:dyDescent="0.25">
      <c r="A5" t="s">
        <v>1479</v>
      </c>
      <c r="B5" t="s">
        <v>1478</v>
      </c>
      <c r="C5">
        <v>1</v>
      </c>
      <c r="D5">
        <v>1</v>
      </c>
    </row>
    <row r="6" spans="1:4" x14ac:dyDescent="0.25">
      <c r="A6" t="s">
        <v>1510</v>
      </c>
      <c r="B6" t="s">
        <v>1509</v>
      </c>
      <c r="C6">
        <v>1</v>
      </c>
      <c r="D6">
        <v>1</v>
      </c>
    </row>
    <row r="7" spans="1:4" x14ac:dyDescent="0.25">
      <c r="A7" t="s">
        <v>1508</v>
      </c>
      <c r="B7" t="s">
        <v>1507</v>
      </c>
      <c r="C7">
        <v>1</v>
      </c>
      <c r="D7">
        <v>1</v>
      </c>
    </row>
    <row r="8" spans="1:4" x14ac:dyDescent="0.25">
      <c r="A8" t="s">
        <v>1426</v>
      </c>
      <c r="B8" t="s">
        <v>1425</v>
      </c>
      <c r="C8">
        <v>1</v>
      </c>
      <c r="D8">
        <v>1</v>
      </c>
    </row>
    <row r="9" spans="1:4" x14ac:dyDescent="0.25">
      <c r="A9" t="s">
        <v>1350</v>
      </c>
      <c r="B9" t="s">
        <v>1464</v>
      </c>
      <c r="C9">
        <v>1</v>
      </c>
      <c r="D9">
        <v>1</v>
      </c>
    </row>
    <row r="10" spans="1:4" x14ac:dyDescent="0.25">
      <c r="A10" t="s">
        <v>318</v>
      </c>
      <c r="B10" t="s">
        <v>1511</v>
      </c>
      <c r="C10">
        <v>1</v>
      </c>
      <c r="D10">
        <v>0</v>
      </c>
    </row>
    <row r="11" spans="1:4" x14ac:dyDescent="0.25">
      <c r="A11" t="s">
        <v>1472</v>
      </c>
      <c r="B11" t="s">
        <v>1471</v>
      </c>
      <c r="C11">
        <v>1</v>
      </c>
      <c r="D11">
        <v>1</v>
      </c>
    </row>
    <row r="12" spans="1:4" x14ac:dyDescent="0.25">
      <c r="A12" t="s">
        <v>1351</v>
      </c>
      <c r="B12" t="s">
        <v>1439</v>
      </c>
      <c r="C12">
        <v>1</v>
      </c>
      <c r="D12">
        <v>0</v>
      </c>
    </row>
    <row r="13" spans="1:4" x14ac:dyDescent="0.25">
      <c r="A13" t="s">
        <v>1445</v>
      </c>
      <c r="B13" t="s">
        <v>1444</v>
      </c>
      <c r="C13">
        <v>1</v>
      </c>
      <c r="D13">
        <v>0</v>
      </c>
    </row>
    <row r="14" spans="1:4" x14ac:dyDescent="0.25">
      <c r="A14" t="s">
        <v>1531</v>
      </c>
      <c r="B14" t="s">
        <v>1530</v>
      </c>
      <c r="C14">
        <v>1</v>
      </c>
      <c r="D14">
        <v>1</v>
      </c>
    </row>
    <row r="15" spans="1:4" x14ac:dyDescent="0.25">
      <c r="A15" t="s">
        <v>1352</v>
      </c>
      <c r="B15" t="s">
        <v>1653</v>
      </c>
      <c r="C15">
        <v>1</v>
      </c>
      <c r="D15">
        <v>0</v>
      </c>
    </row>
    <row r="16" spans="1:4" x14ac:dyDescent="0.25">
      <c r="A16" t="s">
        <v>319</v>
      </c>
      <c r="B16" t="s">
        <v>1489</v>
      </c>
      <c r="C16">
        <v>1</v>
      </c>
      <c r="D16">
        <v>0</v>
      </c>
    </row>
    <row r="17" spans="1:4" x14ac:dyDescent="0.25">
      <c r="A17" t="s">
        <v>1353</v>
      </c>
      <c r="B17" t="s">
        <v>1516</v>
      </c>
      <c r="C17">
        <v>1</v>
      </c>
      <c r="D17">
        <v>0</v>
      </c>
    </row>
    <row r="18" spans="1:4" x14ac:dyDescent="0.25">
      <c r="A18" t="s">
        <v>1354</v>
      </c>
      <c r="B18" t="s">
        <v>1648</v>
      </c>
      <c r="C18">
        <v>1</v>
      </c>
      <c r="D18">
        <v>1</v>
      </c>
    </row>
    <row r="19" spans="1:4" x14ac:dyDescent="0.25">
      <c r="A19" t="s">
        <v>1355</v>
      </c>
      <c r="B19" t="s">
        <v>1617</v>
      </c>
      <c r="C19">
        <v>1</v>
      </c>
      <c r="D19">
        <v>0</v>
      </c>
    </row>
    <row r="20" spans="1:4" x14ac:dyDescent="0.25">
      <c r="A20" t="s">
        <v>1356</v>
      </c>
      <c r="B20" t="s">
        <v>1550</v>
      </c>
      <c r="C20">
        <v>1</v>
      </c>
      <c r="D20">
        <v>1</v>
      </c>
    </row>
    <row r="21" spans="1:4" x14ac:dyDescent="0.25">
      <c r="A21" t="s">
        <v>1634</v>
      </c>
      <c r="B21" t="s">
        <v>1633</v>
      </c>
      <c r="C21">
        <v>1</v>
      </c>
      <c r="D21">
        <v>1</v>
      </c>
    </row>
    <row r="22" spans="1:4" x14ac:dyDescent="0.25">
      <c r="A22" t="s">
        <v>1658</v>
      </c>
      <c r="B22" t="s">
        <v>1657</v>
      </c>
      <c r="C22">
        <v>1</v>
      </c>
      <c r="D22">
        <v>0</v>
      </c>
    </row>
    <row r="23" spans="1:4" x14ac:dyDescent="0.25">
      <c r="A23" t="s">
        <v>1582</v>
      </c>
      <c r="B23" t="s">
        <v>1581</v>
      </c>
      <c r="C23">
        <v>1</v>
      </c>
      <c r="D23">
        <v>1</v>
      </c>
    </row>
    <row r="24" spans="1:4" x14ac:dyDescent="0.25">
      <c r="A24" t="s">
        <v>1357</v>
      </c>
      <c r="B24" t="s">
        <v>1664</v>
      </c>
      <c r="C24">
        <v>1</v>
      </c>
      <c r="D24">
        <v>0</v>
      </c>
    </row>
    <row r="25" spans="1:4" x14ac:dyDescent="0.25">
      <c r="A25" t="s">
        <v>1496</v>
      </c>
      <c r="B25" t="s">
        <v>1495</v>
      </c>
      <c r="C25">
        <v>1</v>
      </c>
      <c r="D25">
        <v>1</v>
      </c>
    </row>
    <row r="26" spans="1:4" x14ac:dyDescent="0.25">
      <c r="A26" t="s">
        <v>1396</v>
      </c>
      <c r="B26" t="s">
        <v>1628</v>
      </c>
      <c r="C26">
        <v>1</v>
      </c>
      <c r="D26">
        <v>1</v>
      </c>
    </row>
    <row r="27" spans="1:4" x14ac:dyDescent="0.25">
      <c r="A27" t="s">
        <v>1358</v>
      </c>
      <c r="B27" t="s">
        <v>1669</v>
      </c>
      <c r="C27">
        <v>1</v>
      </c>
      <c r="D27">
        <v>1</v>
      </c>
    </row>
    <row r="28" spans="1:4" x14ac:dyDescent="0.25">
      <c r="A28" t="s">
        <v>1359</v>
      </c>
      <c r="B28" t="s">
        <v>1610</v>
      </c>
      <c r="C28">
        <v>1</v>
      </c>
      <c r="D28">
        <v>1</v>
      </c>
    </row>
    <row r="29" spans="1:4" x14ac:dyDescent="0.25">
      <c r="A29" t="s">
        <v>46</v>
      </c>
      <c r="B29" t="s">
        <v>1606</v>
      </c>
      <c r="C29">
        <v>1</v>
      </c>
      <c r="D29">
        <v>1</v>
      </c>
    </row>
    <row r="30" spans="1:4" x14ac:dyDescent="0.25">
      <c r="A30" t="s">
        <v>1619</v>
      </c>
      <c r="B30" t="s">
        <v>1618</v>
      </c>
      <c r="C30">
        <v>1</v>
      </c>
      <c r="D30">
        <v>1</v>
      </c>
    </row>
    <row r="31" spans="1:4" x14ac:dyDescent="0.25">
      <c r="A31" t="s">
        <v>1547</v>
      </c>
      <c r="B31" t="s">
        <v>1546</v>
      </c>
      <c r="C31">
        <v>1</v>
      </c>
      <c r="D31">
        <v>1</v>
      </c>
    </row>
    <row r="32" spans="1:4" x14ac:dyDescent="0.25">
      <c r="A32" t="s">
        <v>1560</v>
      </c>
      <c r="B32" t="s">
        <v>1559</v>
      </c>
      <c r="C32">
        <v>1</v>
      </c>
      <c r="D32">
        <v>1</v>
      </c>
    </row>
    <row r="33" spans="1:4" x14ac:dyDescent="0.25">
      <c r="A33" t="s">
        <v>1360</v>
      </c>
      <c r="B33" t="s">
        <v>1563</v>
      </c>
      <c r="C33">
        <v>1</v>
      </c>
      <c r="D33">
        <v>1</v>
      </c>
    </row>
    <row r="34" spans="1:4" x14ac:dyDescent="0.25">
      <c r="A34" t="s">
        <v>1361</v>
      </c>
      <c r="B34" t="s">
        <v>1477</v>
      </c>
      <c r="C34">
        <v>1</v>
      </c>
      <c r="D34">
        <v>0</v>
      </c>
    </row>
    <row r="35" spans="1:4" x14ac:dyDescent="0.25">
      <c r="A35" t="s">
        <v>1362</v>
      </c>
      <c r="B35" t="s">
        <v>1452</v>
      </c>
      <c r="C35">
        <v>1</v>
      </c>
      <c r="D35">
        <v>0</v>
      </c>
    </row>
    <row r="36" spans="1:4" x14ac:dyDescent="0.25">
      <c r="A36" t="s">
        <v>1605</v>
      </c>
      <c r="B36" t="s">
        <v>1604</v>
      </c>
      <c r="C36">
        <v>1</v>
      </c>
      <c r="D36">
        <v>1</v>
      </c>
    </row>
    <row r="37" spans="1:4" x14ac:dyDescent="0.25">
      <c r="A37" t="s">
        <v>1447</v>
      </c>
      <c r="B37" t="s">
        <v>1446</v>
      </c>
      <c r="C37">
        <v>1</v>
      </c>
      <c r="D37">
        <v>1</v>
      </c>
    </row>
    <row r="38" spans="1:4" x14ac:dyDescent="0.25">
      <c r="A38" t="s">
        <v>1363</v>
      </c>
      <c r="B38" t="s">
        <v>1668</v>
      </c>
      <c r="C38">
        <v>1</v>
      </c>
      <c r="D38">
        <v>1</v>
      </c>
    </row>
    <row r="39" spans="1:4" x14ac:dyDescent="0.25">
      <c r="A39" t="s">
        <v>1443</v>
      </c>
      <c r="B39" t="s">
        <v>1442</v>
      </c>
      <c r="C39">
        <v>1</v>
      </c>
      <c r="D39">
        <v>1</v>
      </c>
    </row>
    <row r="40" spans="1:4" x14ac:dyDescent="0.25">
      <c r="A40" t="s">
        <v>1683</v>
      </c>
      <c r="B40" t="s">
        <v>1682</v>
      </c>
      <c r="C40">
        <v>1</v>
      </c>
      <c r="D40">
        <v>1</v>
      </c>
    </row>
    <row r="41" spans="1:4" x14ac:dyDescent="0.25">
      <c r="A41" t="s">
        <v>1655</v>
      </c>
      <c r="B41" t="s">
        <v>1654</v>
      </c>
      <c r="C41">
        <v>1</v>
      </c>
      <c r="D41">
        <v>1</v>
      </c>
    </row>
    <row r="42" spans="1:4" x14ac:dyDescent="0.25">
      <c r="A42" t="s">
        <v>57</v>
      </c>
      <c r="B42" t="s">
        <v>1587</v>
      </c>
      <c r="C42">
        <v>1</v>
      </c>
      <c r="D42">
        <v>0</v>
      </c>
    </row>
    <row r="43" spans="1:4" x14ac:dyDescent="0.25">
      <c r="A43" t="s">
        <v>1364</v>
      </c>
      <c r="B43" t="s">
        <v>1538</v>
      </c>
      <c r="C43">
        <v>1</v>
      </c>
      <c r="D43">
        <v>0</v>
      </c>
    </row>
    <row r="44" spans="1:4" x14ac:dyDescent="0.25">
      <c r="A44" t="s">
        <v>1676</v>
      </c>
      <c r="B44" t="s">
        <v>1675</v>
      </c>
      <c r="C44">
        <v>1</v>
      </c>
      <c r="D44">
        <v>1</v>
      </c>
    </row>
    <row r="45" spans="1:4" x14ac:dyDescent="0.25">
      <c r="A45" t="s">
        <v>1687</v>
      </c>
      <c r="B45" t="s">
        <v>1686</v>
      </c>
      <c r="C45">
        <v>1</v>
      </c>
      <c r="D45">
        <v>1</v>
      </c>
    </row>
    <row r="46" spans="1:4" x14ac:dyDescent="0.25">
      <c r="A46" t="s">
        <v>320</v>
      </c>
      <c r="B46" t="s">
        <v>1463</v>
      </c>
      <c r="C46">
        <v>1</v>
      </c>
      <c r="D46">
        <v>0</v>
      </c>
    </row>
    <row r="47" spans="1:4" x14ac:dyDescent="0.25">
      <c r="A47" t="s">
        <v>1544</v>
      </c>
      <c r="B47" t="s">
        <v>1543</v>
      </c>
      <c r="C47">
        <v>1</v>
      </c>
      <c r="D47">
        <v>1</v>
      </c>
    </row>
    <row r="48" spans="1:4" x14ac:dyDescent="0.25">
      <c r="A48" t="s">
        <v>1642</v>
      </c>
      <c r="B48" t="s">
        <v>1641</v>
      </c>
      <c r="C48">
        <v>1</v>
      </c>
      <c r="D48">
        <v>1</v>
      </c>
    </row>
    <row r="49" spans="1:4" x14ac:dyDescent="0.25">
      <c r="A49" t="s">
        <v>1685</v>
      </c>
      <c r="B49" t="s">
        <v>1684</v>
      </c>
      <c r="C49">
        <v>1</v>
      </c>
      <c r="D49">
        <v>1</v>
      </c>
    </row>
    <row r="50" spans="1:4" x14ac:dyDescent="0.25">
      <c r="A50" t="s">
        <v>1857</v>
      </c>
      <c r="B50" t="s">
        <v>1482</v>
      </c>
      <c r="C50">
        <v>1</v>
      </c>
      <c r="D50">
        <v>1</v>
      </c>
    </row>
    <row r="51" spans="1:4" x14ac:dyDescent="0.25">
      <c r="A51" t="s">
        <v>1858</v>
      </c>
      <c r="B51" t="s">
        <v>1461</v>
      </c>
      <c r="C51">
        <v>1</v>
      </c>
      <c r="D51">
        <v>1</v>
      </c>
    </row>
    <row r="52" spans="1:4" x14ac:dyDescent="0.25">
      <c r="A52" t="s">
        <v>1859</v>
      </c>
      <c r="B52" t="s">
        <v>1485</v>
      </c>
      <c r="C52">
        <v>1</v>
      </c>
      <c r="D52">
        <v>1</v>
      </c>
    </row>
    <row r="53" spans="1:4" x14ac:dyDescent="0.25">
      <c r="A53" t="s">
        <v>1586</v>
      </c>
      <c r="B53" t="s">
        <v>1585</v>
      </c>
      <c r="C53">
        <v>1</v>
      </c>
      <c r="D53">
        <v>0</v>
      </c>
    </row>
    <row r="54" spans="1:4" x14ac:dyDescent="0.25">
      <c r="A54" t="s">
        <v>1901</v>
      </c>
      <c r="B54" t="s">
        <v>1678</v>
      </c>
      <c r="C54">
        <v>1</v>
      </c>
      <c r="D54">
        <v>1</v>
      </c>
    </row>
    <row r="55" spans="1:4" x14ac:dyDescent="0.25">
      <c r="A55" t="s">
        <v>1514</v>
      </c>
      <c r="B55" t="s">
        <v>1513</v>
      </c>
      <c r="C55">
        <v>1</v>
      </c>
      <c r="D55">
        <v>1</v>
      </c>
    </row>
    <row r="56" spans="1:4" x14ac:dyDescent="0.25">
      <c r="A56" t="s">
        <v>1902</v>
      </c>
      <c r="B56" t="s">
        <v>1679</v>
      </c>
      <c r="C56">
        <v>1</v>
      </c>
      <c r="D56">
        <v>0</v>
      </c>
    </row>
    <row r="57" spans="1:4" x14ac:dyDescent="0.25">
      <c r="A57" t="s">
        <v>1365</v>
      </c>
      <c r="B57" t="s">
        <v>1465</v>
      </c>
      <c r="C57">
        <v>1</v>
      </c>
      <c r="D57">
        <v>0</v>
      </c>
    </row>
    <row r="58" spans="1:4" x14ac:dyDescent="0.25">
      <c r="A58" t="s">
        <v>1397</v>
      </c>
      <c r="B58" t="s">
        <v>1427</v>
      </c>
      <c r="C58">
        <v>1</v>
      </c>
      <c r="D58">
        <v>1</v>
      </c>
    </row>
    <row r="59" spans="1:4" x14ac:dyDescent="0.25">
      <c r="A59" t="s">
        <v>1562</v>
      </c>
      <c r="B59" t="s">
        <v>1561</v>
      </c>
      <c r="C59">
        <v>1</v>
      </c>
      <c r="D59">
        <v>0</v>
      </c>
    </row>
    <row r="60" spans="1:4" x14ac:dyDescent="0.25">
      <c r="A60" t="s">
        <v>1438</v>
      </c>
      <c r="B60" t="s">
        <v>1437</v>
      </c>
      <c r="C60">
        <v>1</v>
      </c>
      <c r="D60">
        <v>1</v>
      </c>
    </row>
    <row r="61" spans="1:4" x14ac:dyDescent="0.25">
      <c r="A61" t="s">
        <v>321</v>
      </c>
      <c r="B61" t="s">
        <v>1575</v>
      </c>
      <c r="C61">
        <v>1</v>
      </c>
      <c r="D61">
        <v>1</v>
      </c>
    </row>
    <row r="62" spans="1:4" x14ac:dyDescent="0.25">
      <c r="A62" t="s">
        <v>1481</v>
      </c>
      <c r="B62" t="s">
        <v>1480</v>
      </c>
      <c r="C62">
        <v>1</v>
      </c>
      <c r="D62">
        <v>1</v>
      </c>
    </row>
    <row r="63" spans="1:4" x14ac:dyDescent="0.25">
      <c r="A63" t="s">
        <v>1366</v>
      </c>
      <c r="B63" t="s">
        <v>1423</v>
      </c>
      <c r="C63">
        <v>1</v>
      </c>
      <c r="D63">
        <v>0</v>
      </c>
    </row>
    <row r="64" spans="1:4" x14ac:dyDescent="0.25">
      <c r="A64" t="s">
        <v>1367</v>
      </c>
      <c r="B64" t="s">
        <v>1434</v>
      </c>
      <c r="C64">
        <v>1</v>
      </c>
      <c r="D64">
        <v>0</v>
      </c>
    </row>
    <row r="65" spans="1:4" x14ac:dyDescent="0.25">
      <c r="A65" t="s">
        <v>1476</v>
      </c>
      <c r="B65" t="s">
        <v>1475</v>
      </c>
      <c r="C65">
        <v>1</v>
      </c>
      <c r="D65">
        <v>1</v>
      </c>
    </row>
    <row r="66" spans="1:4" x14ac:dyDescent="0.25">
      <c r="A66" t="s">
        <v>1652</v>
      </c>
      <c r="B66" t="s">
        <v>1651</v>
      </c>
      <c r="C66">
        <v>1</v>
      </c>
      <c r="D66">
        <v>1</v>
      </c>
    </row>
    <row r="67" spans="1:4" x14ac:dyDescent="0.25">
      <c r="A67" t="s">
        <v>1518</v>
      </c>
      <c r="B67" t="s">
        <v>1517</v>
      </c>
      <c r="C67">
        <v>1</v>
      </c>
      <c r="D67">
        <v>0</v>
      </c>
    </row>
    <row r="68" spans="1:4" x14ac:dyDescent="0.25">
      <c r="A68" t="s">
        <v>1672</v>
      </c>
      <c r="B68" t="s">
        <v>1671</v>
      </c>
      <c r="C68">
        <v>1</v>
      </c>
      <c r="D68">
        <v>0</v>
      </c>
    </row>
    <row r="69" spans="1:4" x14ac:dyDescent="0.25">
      <c r="A69" t="s">
        <v>1520</v>
      </c>
      <c r="B69" t="s">
        <v>1519</v>
      </c>
      <c r="C69">
        <v>1</v>
      </c>
      <c r="D69">
        <v>0</v>
      </c>
    </row>
    <row r="70" spans="1:4" x14ac:dyDescent="0.25">
      <c r="A70" t="s">
        <v>1612</v>
      </c>
      <c r="B70" t="s">
        <v>1611</v>
      </c>
      <c r="C70">
        <v>1</v>
      </c>
      <c r="D70">
        <v>1</v>
      </c>
    </row>
    <row r="71" spans="1:4" x14ac:dyDescent="0.25">
      <c r="A71" t="s">
        <v>1549</v>
      </c>
      <c r="B71" t="s">
        <v>1548</v>
      </c>
      <c r="C71">
        <v>1</v>
      </c>
      <c r="D71">
        <v>1</v>
      </c>
    </row>
    <row r="72" spans="1:4" x14ac:dyDescent="0.25">
      <c r="A72" t="s">
        <v>322</v>
      </c>
      <c r="B72" t="s">
        <v>1448</v>
      </c>
      <c r="C72">
        <v>1</v>
      </c>
      <c r="D72">
        <v>0</v>
      </c>
    </row>
    <row r="73" spans="1:4" x14ac:dyDescent="0.25">
      <c r="A73" t="s">
        <v>1674</v>
      </c>
      <c r="B73" t="s">
        <v>1673</v>
      </c>
      <c r="C73">
        <v>1</v>
      </c>
      <c r="D73">
        <v>1</v>
      </c>
    </row>
    <row r="74" spans="1:4" x14ac:dyDescent="0.25">
      <c r="A74" t="s">
        <v>1436</v>
      </c>
      <c r="B74" t="s">
        <v>1435</v>
      </c>
      <c r="C74">
        <v>1</v>
      </c>
      <c r="D74">
        <v>1</v>
      </c>
    </row>
    <row r="75" spans="1:4" x14ac:dyDescent="0.25">
      <c r="A75" t="s">
        <v>1368</v>
      </c>
      <c r="B75" t="s">
        <v>1552</v>
      </c>
      <c r="C75">
        <v>1</v>
      </c>
      <c r="D75">
        <v>0</v>
      </c>
    </row>
    <row r="76" spans="1:4" x14ac:dyDescent="0.25">
      <c r="A76" t="s">
        <v>1909</v>
      </c>
      <c r="B76" t="s">
        <v>1910</v>
      </c>
      <c r="C76">
        <v>1</v>
      </c>
      <c r="D76">
        <v>1</v>
      </c>
    </row>
    <row r="77" spans="1:4" x14ac:dyDescent="0.25">
      <c r="A77" t="s">
        <v>1414</v>
      </c>
      <c r="B77" t="s">
        <v>1413</v>
      </c>
      <c r="C77">
        <v>1</v>
      </c>
      <c r="D77">
        <v>1</v>
      </c>
    </row>
    <row r="78" spans="1:4" x14ac:dyDescent="0.25">
      <c r="A78" t="s">
        <v>1911</v>
      </c>
      <c r="B78" t="s">
        <v>1912</v>
      </c>
      <c r="C78">
        <v>1</v>
      </c>
      <c r="D78">
        <v>1</v>
      </c>
    </row>
    <row r="79" spans="1:4" x14ac:dyDescent="0.25">
      <c r="A79" t="s">
        <v>1580</v>
      </c>
      <c r="B79" s="273" t="s">
        <v>1579</v>
      </c>
      <c r="C79">
        <v>1</v>
      </c>
      <c r="D79">
        <v>1</v>
      </c>
    </row>
    <row r="80" spans="1:4" x14ac:dyDescent="0.25">
      <c r="A80" t="s">
        <v>79</v>
      </c>
      <c r="B80" t="s">
        <v>1551</v>
      </c>
      <c r="C80">
        <v>1</v>
      </c>
      <c r="D80">
        <v>0</v>
      </c>
    </row>
    <row r="81" spans="1:4" x14ac:dyDescent="0.25">
      <c r="A81" t="s">
        <v>1458</v>
      </c>
      <c r="B81" s="273" t="s">
        <v>1457</v>
      </c>
      <c r="C81">
        <v>1</v>
      </c>
      <c r="D81">
        <v>1</v>
      </c>
    </row>
    <row r="82" spans="1:4" x14ac:dyDescent="0.25">
      <c r="A82" t="s">
        <v>82</v>
      </c>
      <c r="B82" t="s">
        <v>1623</v>
      </c>
      <c r="C82">
        <v>1</v>
      </c>
      <c r="D82">
        <v>1</v>
      </c>
    </row>
    <row r="83" spans="1:4" x14ac:dyDescent="0.25">
      <c r="A83" t="s">
        <v>323</v>
      </c>
      <c r="B83" t="s">
        <v>1638</v>
      </c>
      <c r="C83">
        <v>1</v>
      </c>
      <c r="D83">
        <v>0</v>
      </c>
    </row>
    <row r="84" spans="1:4" x14ac:dyDescent="0.25">
      <c r="A84" t="s">
        <v>1603</v>
      </c>
      <c r="B84" t="s">
        <v>1602</v>
      </c>
      <c r="C84">
        <v>1</v>
      </c>
      <c r="D84">
        <v>1</v>
      </c>
    </row>
    <row r="85" spans="1:4" x14ac:dyDescent="0.25">
      <c r="A85" t="s">
        <v>1470</v>
      </c>
      <c r="B85" s="273" t="s">
        <v>1469</v>
      </c>
      <c r="C85">
        <v>1</v>
      </c>
      <c r="D85">
        <v>1</v>
      </c>
    </row>
    <row r="86" spans="1:4" x14ac:dyDescent="0.25">
      <c r="A86" t="s">
        <v>324</v>
      </c>
      <c r="B86" t="s">
        <v>1488</v>
      </c>
      <c r="C86">
        <v>1</v>
      </c>
      <c r="D86">
        <v>1</v>
      </c>
    </row>
    <row r="87" spans="1:4" x14ac:dyDescent="0.25">
      <c r="A87" t="s">
        <v>1369</v>
      </c>
      <c r="B87" t="s">
        <v>1541</v>
      </c>
      <c r="C87">
        <v>1</v>
      </c>
      <c r="D87">
        <v>1</v>
      </c>
    </row>
    <row r="88" spans="1:4" x14ac:dyDescent="0.25">
      <c r="A88" t="s">
        <v>1370</v>
      </c>
      <c r="B88" t="s">
        <v>1601</v>
      </c>
      <c r="C88">
        <v>1</v>
      </c>
      <c r="D88">
        <v>0</v>
      </c>
    </row>
    <row r="89" spans="1:4" x14ac:dyDescent="0.25">
      <c r="A89" t="s">
        <v>1371</v>
      </c>
      <c r="B89" t="s">
        <v>1451</v>
      </c>
      <c r="C89">
        <v>1</v>
      </c>
      <c r="D89">
        <v>1</v>
      </c>
    </row>
    <row r="90" spans="1:4" x14ac:dyDescent="0.25">
      <c r="A90" t="s">
        <v>325</v>
      </c>
      <c r="B90" t="s">
        <v>1432</v>
      </c>
      <c r="C90">
        <v>1</v>
      </c>
      <c r="D90">
        <v>0</v>
      </c>
    </row>
    <row r="91" spans="1:4" x14ac:dyDescent="0.25">
      <c r="A91" t="s">
        <v>1372</v>
      </c>
      <c r="B91" t="s">
        <v>1540</v>
      </c>
      <c r="C91">
        <v>1</v>
      </c>
      <c r="D91">
        <v>0</v>
      </c>
    </row>
    <row r="92" spans="1:4" x14ac:dyDescent="0.25">
      <c r="A92" t="s">
        <v>1373</v>
      </c>
      <c r="B92" t="s">
        <v>1663</v>
      </c>
      <c r="C92">
        <v>1</v>
      </c>
      <c r="D92">
        <v>0</v>
      </c>
    </row>
    <row r="93" spans="1:4" x14ac:dyDescent="0.25">
      <c r="A93" t="s">
        <v>1374</v>
      </c>
      <c r="B93" t="s">
        <v>1466</v>
      </c>
      <c r="C93">
        <v>1</v>
      </c>
      <c r="D93">
        <v>0</v>
      </c>
    </row>
    <row r="94" spans="1:4" x14ac:dyDescent="0.25">
      <c r="A94" t="s">
        <v>1630</v>
      </c>
      <c r="B94" t="s">
        <v>1629</v>
      </c>
      <c r="C94">
        <v>1</v>
      </c>
      <c r="D94">
        <v>1</v>
      </c>
    </row>
    <row r="95" spans="1:4" x14ac:dyDescent="0.25">
      <c r="A95" t="s">
        <v>1504</v>
      </c>
      <c r="B95" t="s">
        <v>1503</v>
      </c>
      <c r="C95">
        <v>1</v>
      </c>
      <c r="D95">
        <v>1</v>
      </c>
    </row>
    <row r="96" spans="1:4" x14ac:dyDescent="0.25">
      <c r="A96" t="s">
        <v>93</v>
      </c>
      <c r="B96" t="s">
        <v>1499</v>
      </c>
      <c r="C96">
        <v>1</v>
      </c>
      <c r="D96">
        <v>0</v>
      </c>
    </row>
    <row r="97" spans="1:4" x14ac:dyDescent="0.25">
      <c r="A97" t="s">
        <v>326</v>
      </c>
      <c r="B97" t="s">
        <v>1418</v>
      </c>
      <c r="C97">
        <v>1</v>
      </c>
      <c r="D97">
        <v>0</v>
      </c>
    </row>
    <row r="98" spans="1:4" x14ac:dyDescent="0.25">
      <c r="A98" t="s">
        <v>1646</v>
      </c>
      <c r="B98" t="s">
        <v>1645</v>
      </c>
      <c r="C98">
        <v>1</v>
      </c>
      <c r="D98">
        <v>1</v>
      </c>
    </row>
    <row r="99" spans="1:4" x14ac:dyDescent="0.25">
      <c r="A99" t="s">
        <v>94</v>
      </c>
      <c r="B99" t="s">
        <v>1424</v>
      </c>
      <c r="C99">
        <v>1</v>
      </c>
      <c r="D99">
        <v>1</v>
      </c>
    </row>
    <row r="100" spans="1:4" x14ac:dyDescent="0.25">
      <c r="A100" t="s">
        <v>1375</v>
      </c>
      <c r="B100" t="s">
        <v>1593</v>
      </c>
      <c r="C100">
        <v>1</v>
      </c>
      <c r="D100">
        <v>0</v>
      </c>
    </row>
    <row r="101" spans="1:4" x14ac:dyDescent="0.25">
      <c r="A101" t="s">
        <v>1903</v>
      </c>
      <c r="B101" t="s">
        <v>1494</v>
      </c>
      <c r="C101">
        <v>1</v>
      </c>
      <c r="D101">
        <v>0</v>
      </c>
    </row>
    <row r="102" spans="1:4" x14ac:dyDescent="0.25">
      <c r="A102" t="s">
        <v>1904</v>
      </c>
      <c r="B102" t="s">
        <v>1627</v>
      </c>
      <c r="C102">
        <v>1</v>
      </c>
      <c r="D102">
        <v>0</v>
      </c>
    </row>
    <row r="103" spans="1:4" x14ac:dyDescent="0.25">
      <c r="A103" t="s">
        <v>1537</v>
      </c>
      <c r="B103" t="s">
        <v>1536</v>
      </c>
      <c r="C103">
        <v>1</v>
      </c>
      <c r="D103">
        <v>1</v>
      </c>
    </row>
    <row r="104" spans="1:4" x14ac:dyDescent="0.25">
      <c r="A104" t="s">
        <v>1860</v>
      </c>
      <c r="B104" t="s">
        <v>1861</v>
      </c>
      <c r="C104">
        <v>1</v>
      </c>
      <c r="D104">
        <v>0</v>
      </c>
    </row>
    <row r="105" spans="1:4" x14ac:dyDescent="0.25">
      <c r="A105" t="s">
        <v>1589</v>
      </c>
      <c r="B105" t="s">
        <v>1588</v>
      </c>
      <c r="C105">
        <v>1</v>
      </c>
      <c r="D105">
        <v>0</v>
      </c>
    </row>
    <row r="106" spans="1:4" x14ac:dyDescent="0.25">
      <c r="A106" t="s">
        <v>1595</v>
      </c>
      <c r="B106" t="s">
        <v>1594</v>
      </c>
      <c r="C106">
        <v>1</v>
      </c>
      <c r="D106">
        <v>1</v>
      </c>
    </row>
    <row r="107" spans="1:4" x14ac:dyDescent="0.25">
      <c r="A107" t="s">
        <v>1666</v>
      </c>
      <c r="B107" t="s">
        <v>1665</v>
      </c>
      <c r="C107">
        <v>1</v>
      </c>
      <c r="D107">
        <v>0</v>
      </c>
    </row>
    <row r="108" spans="1:4" x14ac:dyDescent="0.25">
      <c r="A108" t="s">
        <v>327</v>
      </c>
      <c r="B108" t="s">
        <v>1647</v>
      </c>
      <c r="C108">
        <v>1</v>
      </c>
      <c r="D108">
        <v>0</v>
      </c>
    </row>
    <row r="109" spans="1:4" x14ac:dyDescent="0.25">
      <c r="A109" t="s">
        <v>1411</v>
      </c>
      <c r="B109" t="s">
        <v>1410</v>
      </c>
      <c r="C109">
        <v>1</v>
      </c>
      <c r="D109">
        <v>1</v>
      </c>
    </row>
    <row r="110" spans="1:4" x14ac:dyDescent="0.25">
      <c r="A110" t="s">
        <v>1398</v>
      </c>
      <c r="B110" t="s">
        <v>1433</v>
      </c>
      <c r="C110">
        <v>1</v>
      </c>
      <c r="D110">
        <v>1</v>
      </c>
    </row>
    <row r="111" spans="1:4" x14ac:dyDescent="0.25">
      <c r="A111" t="s">
        <v>1614</v>
      </c>
      <c r="B111" t="s">
        <v>1613</v>
      </c>
      <c r="C111">
        <v>1</v>
      </c>
      <c r="D111">
        <v>1</v>
      </c>
    </row>
    <row r="112" spans="1:4" x14ac:dyDescent="0.25">
      <c r="A112" t="s">
        <v>1376</v>
      </c>
      <c r="B112" t="s">
        <v>1542</v>
      </c>
      <c r="C112">
        <v>1</v>
      </c>
      <c r="D112">
        <v>0</v>
      </c>
    </row>
    <row r="113" spans="1:4" x14ac:dyDescent="0.25">
      <c r="A113" t="s">
        <v>1636</v>
      </c>
      <c r="B113" t="s">
        <v>1635</v>
      </c>
      <c r="C113">
        <v>1</v>
      </c>
      <c r="D113">
        <v>1</v>
      </c>
    </row>
    <row r="114" spans="1:4" x14ac:dyDescent="0.25">
      <c r="A114" t="s">
        <v>328</v>
      </c>
      <c r="B114" t="s">
        <v>1422</v>
      </c>
      <c r="C114">
        <v>1</v>
      </c>
      <c r="D114">
        <v>1</v>
      </c>
    </row>
    <row r="115" spans="1:4" x14ac:dyDescent="0.25">
      <c r="A115" t="s">
        <v>1416</v>
      </c>
      <c r="B115" t="s">
        <v>1415</v>
      </c>
      <c r="C115">
        <v>1</v>
      </c>
      <c r="D115">
        <v>1</v>
      </c>
    </row>
    <row r="116" spans="1:4" x14ac:dyDescent="0.25">
      <c r="A116" t="s">
        <v>1377</v>
      </c>
      <c r="B116" t="s">
        <v>1419</v>
      </c>
      <c r="C116">
        <v>1</v>
      </c>
      <c r="D116">
        <v>0</v>
      </c>
    </row>
    <row r="117" spans="1:4" x14ac:dyDescent="0.25">
      <c r="A117" t="s">
        <v>1000</v>
      </c>
      <c r="B117" t="s">
        <v>1512</v>
      </c>
      <c r="C117">
        <v>1</v>
      </c>
      <c r="D117">
        <v>0</v>
      </c>
    </row>
    <row r="118" spans="1:4" x14ac:dyDescent="0.25">
      <c r="A118" t="s">
        <v>1524</v>
      </c>
      <c r="B118" t="s">
        <v>1523</v>
      </c>
      <c r="C118">
        <v>1</v>
      </c>
      <c r="D118">
        <v>1</v>
      </c>
    </row>
    <row r="119" spans="1:4" x14ac:dyDescent="0.25">
      <c r="A119" t="s">
        <v>1905</v>
      </c>
      <c r="B119" t="s">
        <v>1656</v>
      </c>
      <c r="C119">
        <v>1</v>
      </c>
      <c r="D119">
        <v>0</v>
      </c>
    </row>
    <row r="120" spans="1:4" x14ac:dyDescent="0.25">
      <c r="A120" t="s">
        <v>329</v>
      </c>
      <c r="B120" t="s">
        <v>1467</v>
      </c>
      <c r="C120">
        <v>1</v>
      </c>
      <c r="D120">
        <v>1</v>
      </c>
    </row>
    <row r="121" spans="1:4" x14ac:dyDescent="0.25">
      <c r="A121" t="s">
        <v>1408</v>
      </c>
      <c r="B121" t="s">
        <v>1407</v>
      </c>
      <c r="C121">
        <v>1</v>
      </c>
      <c r="D121">
        <v>1</v>
      </c>
    </row>
    <row r="122" spans="1:4" x14ac:dyDescent="0.25">
      <c r="A122" t="s">
        <v>330</v>
      </c>
      <c r="B122" t="s">
        <v>1428</v>
      </c>
      <c r="C122">
        <v>1</v>
      </c>
      <c r="D122">
        <v>1</v>
      </c>
    </row>
    <row r="123" spans="1:4" x14ac:dyDescent="0.25">
      <c r="A123" t="s">
        <v>1399</v>
      </c>
      <c r="B123" t="s">
        <v>1626</v>
      </c>
      <c r="C123">
        <v>1</v>
      </c>
      <c r="D123">
        <v>1</v>
      </c>
    </row>
    <row r="124" spans="1:4" x14ac:dyDescent="0.25">
      <c r="A124" t="s">
        <v>1913</v>
      </c>
      <c r="B124" t="s">
        <v>1914</v>
      </c>
      <c r="C124">
        <v>1</v>
      </c>
      <c r="D124">
        <v>1</v>
      </c>
    </row>
    <row r="125" spans="1:4" x14ac:dyDescent="0.25">
      <c r="A125" t="s">
        <v>1906</v>
      </c>
      <c r="B125" t="s">
        <v>1607</v>
      </c>
      <c r="C125">
        <v>1</v>
      </c>
      <c r="D125">
        <v>1</v>
      </c>
    </row>
    <row r="126" spans="1:4" x14ac:dyDescent="0.25">
      <c r="A126" t="s">
        <v>1421</v>
      </c>
      <c r="B126" t="s">
        <v>1420</v>
      </c>
      <c r="C126">
        <v>1</v>
      </c>
      <c r="D126">
        <v>0</v>
      </c>
    </row>
    <row r="127" spans="1:4" x14ac:dyDescent="0.25">
      <c r="A127" t="s">
        <v>1378</v>
      </c>
      <c r="B127" t="s">
        <v>1502</v>
      </c>
      <c r="C127">
        <v>1</v>
      </c>
      <c r="D127">
        <v>0</v>
      </c>
    </row>
    <row r="128" spans="1:4" x14ac:dyDescent="0.25">
      <c r="A128" t="s">
        <v>96</v>
      </c>
      <c r="B128" t="s">
        <v>1527</v>
      </c>
      <c r="C128">
        <v>1</v>
      </c>
      <c r="D128">
        <v>1</v>
      </c>
    </row>
    <row r="129" spans="1:4" x14ac:dyDescent="0.25">
      <c r="A129" t="s">
        <v>331</v>
      </c>
      <c r="B129" t="s">
        <v>1681</v>
      </c>
      <c r="C129">
        <v>1</v>
      </c>
      <c r="D129">
        <v>0</v>
      </c>
    </row>
    <row r="130" spans="1:4" x14ac:dyDescent="0.25">
      <c r="A130" t="s">
        <v>1622</v>
      </c>
      <c r="B130" t="s">
        <v>1621</v>
      </c>
      <c r="C130">
        <v>1</v>
      </c>
      <c r="D130">
        <v>1</v>
      </c>
    </row>
    <row r="131" spans="1:4" x14ac:dyDescent="0.25">
      <c r="A131" t="s">
        <v>1460</v>
      </c>
      <c r="B131" t="s">
        <v>1459</v>
      </c>
      <c r="C131">
        <v>1</v>
      </c>
      <c r="D131">
        <v>1</v>
      </c>
    </row>
    <row r="132" spans="1:4" x14ac:dyDescent="0.25">
      <c r="A132" t="s">
        <v>1535</v>
      </c>
      <c r="B132" t="s">
        <v>1534</v>
      </c>
      <c r="C132">
        <v>1</v>
      </c>
      <c r="D132">
        <v>1</v>
      </c>
    </row>
    <row r="133" spans="1:4" x14ac:dyDescent="0.25">
      <c r="A133" t="s">
        <v>1574</v>
      </c>
      <c r="B133" t="s">
        <v>1573</v>
      </c>
      <c r="C133">
        <v>1</v>
      </c>
      <c r="D133">
        <v>1</v>
      </c>
    </row>
    <row r="134" spans="1:4" x14ac:dyDescent="0.25">
      <c r="A134" t="s">
        <v>1572</v>
      </c>
      <c r="B134" t="s">
        <v>1571</v>
      </c>
      <c r="C134">
        <v>1</v>
      </c>
      <c r="D134">
        <v>1</v>
      </c>
    </row>
    <row r="135" spans="1:4" x14ac:dyDescent="0.25">
      <c r="A135" t="s">
        <v>1522</v>
      </c>
      <c r="B135" t="s">
        <v>1521</v>
      </c>
      <c r="C135">
        <v>1</v>
      </c>
      <c r="D135">
        <v>1</v>
      </c>
    </row>
    <row r="136" spans="1:4" x14ac:dyDescent="0.25">
      <c r="A136" t="s">
        <v>97</v>
      </c>
      <c r="B136" t="s">
        <v>1670</v>
      </c>
      <c r="C136">
        <v>1</v>
      </c>
      <c r="D136">
        <v>1</v>
      </c>
    </row>
    <row r="137" spans="1:4" x14ac:dyDescent="0.25">
      <c r="A137" t="s">
        <v>98</v>
      </c>
      <c r="B137" t="s">
        <v>1431</v>
      </c>
      <c r="C137">
        <v>1</v>
      </c>
      <c r="D137">
        <v>1</v>
      </c>
    </row>
    <row r="138" spans="1:4" x14ac:dyDescent="0.25">
      <c r="A138" t="s">
        <v>1498</v>
      </c>
      <c r="B138" t="s">
        <v>1497</v>
      </c>
      <c r="C138">
        <v>1</v>
      </c>
      <c r="D138">
        <v>1</v>
      </c>
    </row>
    <row r="139" spans="1:4" x14ac:dyDescent="0.25">
      <c r="A139" t="s">
        <v>1456</v>
      </c>
      <c r="B139" t="s">
        <v>1455</v>
      </c>
      <c r="C139">
        <v>1</v>
      </c>
      <c r="D139">
        <v>1</v>
      </c>
    </row>
    <row r="140" spans="1:4" x14ac:dyDescent="0.25">
      <c r="A140" t="s">
        <v>1474</v>
      </c>
      <c r="B140" t="s">
        <v>1473</v>
      </c>
      <c r="C140">
        <v>1</v>
      </c>
      <c r="D140">
        <v>1</v>
      </c>
    </row>
    <row r="141" spans="1:4" x14ac:dyDescent="0.25">
      <c r="A141" t="s">
        <v>1565</v>
      </c>
      <c r="B141" t="s">
        <v>1564</v>
      </c>
      <c r="C141">
        <v>1</v>
      </c>
      <c r="D141">
        <v>0</v>
      </c>
    </row>
    <row r="142" spans="1:4" x14ac:dyDescent="0.25">
      <c r="A142" t="s">
        <v>1379</v>
      </c>
      <c r="B142" s="273" t="s">
        <v>1590</v>
      </c>
      <c r="C142">
        <v>1</v>
      </c>
      <c r="D142">
        <v>1</v>
      </c>
    </row>
    <row r="143" spans="1:4" x14ac:dyDescent="0.25">
      <c r="A143" t="s">
        <v>1380</v>
      </c>
      <c r="B143" t="s">
        <v>1578</v>
      </c>
      <c r="C143">
        <v>1</v>
      </c>
      <c r="D143">
        <v>0</v>
      </c>
    </row>
    <row r="144" spans="1:4" x14ac:dyDescent="0.25">
      <c r="A144" t="s">
        <v>1381</v>
      </c>
      <c r="B144" t="s">
        <v>1539</v>
      </c>
      <c r="C144">
        <v>1</v>
      </c>
      <c r="D144">
        <v>1</v>
      </c>
    </row>
    <row r="145" spans="1:4" x14ac:dyDescent="0.25">
      <c r="A145" t="s">
        <v>1454</v>
      </c>
      <c r="B145" s="273" t="s">
        <v>1453</v>
      </c>
      <c r="C145">
        <v>1</v>
      </c>
      <c r="D145">
        <v>1</v>
      </c>
    </row>
    <row r="146" spans="1:4" x14ac:dyDescent="0.25">
      <c r="A146" t="s">
        <v>1382</v>
      </c>
      <c r="B146" t="s">
        <v>1569</v>
      </c>
      <c r="C146">
        <v>1</v>
      </c>
      <c r="D146">
        <v>0</v>
      </c>
    </row>
    <row r="147" spans="1:4" x14ac:dyDescent="0.25">
      <c r="A147" t="s">
        <v>1625</v>
      </c>
      <c r="B147" t="s">
        <v>1624</v>
      </c>
      <c r="C147">
        <v>1</v>
      </c>
      <c r="D147">
        <v>1</v>
      </c>
    </row>
    <row r="148" spans="1:4" x14ac:dyDescent="0.25">
      <c r="A148" t="s">
        <v>1400</v>
      </c>
      <c r="B148" t="s">
        <v>1637</v>
      </c>
      <c r="C148">
        <v>1</v>
      </c>
      <c r="D148">
        <v>1</v>
      </c>
    </row>
    <row r="149" spans="1:4" x14ac:dyDescent="0.25">
      <c r="A149" t="s">
        <v>1493</v>
      </c>
      <c r="B149" t="s">
        <v>1492</v>
      </c>
      <c r="C149">
        <v>1</v>
      </c>
      <c r="D149">
        <v>1</v>
      </c>
    </row>
    <row r="150" spans="1:4" x14ac:dyDescent="0.25">
      <c r="A150" t="s">
        <v>1383</v>
      </c>
      <c r="B150" t="s">
        <v>1430</v>
      </c>
      <c r="C150">
        <v>1</v>
      </c>
      <c r="D150">
        <v>0</v>
      </c>
    </row>
    <row r="151" spans="1:4" x14ac:dyDescent="0.25">
      <c r="A151" t="s">
        <v>1401</v>
      </c>
      <c r="B151" t="s">
        <v>1412</v>
      </c>
      <c r="C151">
        <v>1</v>
      </c>
      <c r="D151">
        <v>0</v>
      </c>
    </row>
    <row r="152" spans="1:4" x14ac:dyDescent="0.25">
      <c r="A152" t="s">
        <v>1384</v>
      </c>
      <c r="B152" s="273" t="s">
        <v>1409</v>
      </c>
      <c r="C152">
        <v>1</v>
      </c>
      <c r="D152">
        <v>1</v>
      </c>
    </row>
    <row r="153" spans="1:4" x14ac:dyDescent="0.25">
      <c r="A153" t="s">
        <v>1441</v>
      </c>
      <c r="B153" t="s">
        <v>1440</v>
      </c>
      <c r="C153">
        <v>1</v>
      </c>
      <c r="D153">
        <v>1</v>
      </c>
    </row>
    <row r="154" spans="1:4" x14ac:dyDescent="0.25">
      <c r="A154" t="s">
        <v>1385</v>
      </c>
      <c r="B154" t="s">
        <v>1566</v>
      </c>
      <c r="C154">
        <v>1</v>
      </c>
      <c r="D154">
        <v>0</v>
      </c>
    </row>
    <row r="155" spans="1:4" x14ac:dyDescent="0.25">
      <c r="A155" t="s">
        <v>332</v>
      </c>
      <c r="B155" t="s">
        <v>1677</v>
      </c>
      <c r="C155">
        <v>1</v>
      </c>
      <c r="D155">
        <v>0</v>
      </c>
    </row>
    <row r="156" spans="1:4" x14ac:dyDescent="0.25">
      <c r="A156" t="s">
        <v>99</v>
      </c>
      <c r="B156" t="s">
        <v>1500</v>
      </c>
      <c r="C156">
        <v>1</v>
      </c>
      <c r="D156">
        <v>1</v>
      </c>
    </row>
    <row r="157" spans="1:4" x14ac:dyDescent="0.25">
      <c r="A157" t="s">
        <v>1386</v>
      </c>
      <c r="B157" t="s">
        <v>1545</v>
      </c>
      <c r="C157">
        <v>1</v>
      </c>
      <c r="D157">
        <v>1</v>
      </c>
    </row>
    <row r="158" spans="1:4" x14ac:dyDescent="0.25">
      <c r="A158" t="s">
        <v>1387</v>
      </c>
      <c r="B158" t="s">
        <v>1468</v>
      </c>
      <c r="C158">
        <v>1</v>
      </c>
      <c r="D158">
        <v>1</v>
      </c>
    </row>
    <row r="159" spans="1:4" x14ac:dyDescent="0.25">
      <c r="A159" t="s">
        <v>1491</v>
      </c>
      <c r="B159" t="s">
        <v>1490</v>
      </c>
      <c r="C159">
        <v>1</v>
      </c>
      <c r="D159">
        <v>1</v>
      </c>
    </row>
    <row r="160" spans="1:4" x14ac:dyDescent="0.25">
      <c r="A160" t="s">
        <v>333</v>
      </c>
      <c r="B160" t="s">
        <v>1570</v>
      </c>
      <c r="C160">
        <v>1</v>
      </c>
      <c r="D160">
        <v>0</v>
      </c>
    </row>
    <row r="161" spans="1:4" x14ac:dyDescent="0.25">
      <c r="A161" t="s">
        <v>1450</v>
      </c>
      <c r="B161" t="s">
        <v>1449</v>
      </c>
      <c r="C161">
        <v>1</v>
      </c>
      <c r="D161">
        <v>0</v>
      </c>
    </row>
    <row r="162" spans="1:4" x14ac:dyDescent="0.25">
      <c r="A162" t="s">
        <v>1388</v>
      </c>
      <c r="B162" t="s">
        <v>1501</v>
      </c>
      <c r="C162">
        <v>1</v>
      </c>
      <c r="D162">
        <v>0</v>
      </c>
    </row>
    <row r="163" spans="1:4" x14ac:dyDescent="0.25">
      <c r="A163" t="s">
        <v>1487</v>
      </c>
      <c r="B163" t="s">
        <v>1486</v>
      </c>
      <c r="C163">
        <v>1</v>
      </c>
      <c r="D163">
        <v>1</v>
      </c>
    </row>
    <row r="164" spans="1:4" x14ac:dyDescent="0.25">
      <c r="A164" t="s">
        <v>334</v>
      </c>
      <c r="B164" t="s">
        <v>1429</v>
      </c>
      <c r="C164">
        <v>1</v>
      </c>
      <c r="D164">
        <v>1</v>
      </c>
    </row>
    <row r="165" spans="1:4" x14ac:dyDescent="0.25">
      <c r="A165" t="s">
        <v>335</v>
      </c>
      <c r="B165" t="s">
        <v>1659</v>
      </c>
      <c r="C165">
        <v>1</v>
      </c>
      <c r="D165">
        <v>0</v>
      </c>
    </row>
    <row r="166" spans="1:4" x14ac:dyDescent="0.25">
      <c r="A166" t="s">
        <v>1640</v>
      </c>
      <c r="B166" t="s">
        <v>1639</v>
      </c>
      <c r="C166">
        <v>1</v>
      </c>
      <c r="D166">
        <v>1</v>
      </c>
    </row>
    <row r="167" spans="1:4" x14ac:dyDescent="0.25">
      <c r="A167" t="s">
        <v>1533</v>
      </c>
      <c r="B167" t="s">
        <v>1532</v>
      </c>
      <c r="C167">
        <v>1</v>
      </c>
      <c r="D167">
        <v>0</v>
      </c>
    </row>
    <row r="168" spans="1:4" x14ac:dyDescent="0.25">
      <c r="A168" t="s">
        <v>1915</v>
      </c>
      <c r="B168" t="s">
        <v>1916</v>
      </c>
      <c r="C168">
        <v>1</v>
      </c>
      <c r="D168">
        <v>1</v>
      </c>
    </row>
    <row r="169" spans="1:4" x14ac:dyDescent="0.25">
      <c r="A169" t="s">
        <v>100</v>
      </c>
      <c r="B169" t="s">
        <v>1515</v>
      </c>
      <c r="C169">
        <v>1</v>
      </c>
      <c r="D169">
        <v>1</v>
      </c>
    </row>
    <row r="170" spans="1:4" x14ac:dyDescent="0.25">
      <c r="A170" t="s">
        <v>1907</v>
      </c>
      <c r="B170" t="s">
        <v>1417</v>
      </c>
      <c r="C170">
        <v>1</v>
      </c>
      <c r="D170">
        <v>0</v>
      </c>
    </row>
    <row r="171" spans="1:4" x14ac:dyDescent="0.25">
      <c r="A171" t="s">
        <v>1908</v>
      </c>
      <c r="B171" t="s">
        <v>1462</v>
      </c>
      <c r="C171">
        <v>1</v>
      </c>
      <c r="D171">
        <v>1</v>
      </c>
    </row>
    <row r="172" spans="1:4" x14ac:dyDescent="0.25">
      <c r="A172" t="s">
        <v>336</v>
      </c>
      <c r="B172" t="s">
        <v>1680</v>
      </c>
      <c r="C172">
        <v>1</v>
      </c>
      <c r="D172">
        <v>0</v>
      </c>
    </row>
    <row r="173" spans="1:4" x14ac:dyDescent="0.25">
      <c r="A173" t="s">
        <v>1389</v>
      </c>
      <c r="B173" t="s">
        <v>1667</v>
      </c>
      <c r="C173">
        <v>1</v>
      </c>
      <c r="D173">
        <v>0</v>
      </c>
    </row>
    <row r="174" spans="1:4" x14ac:dyDescent="0.25">
      <c r="A174" t="s">
        <v>1529</v>
      </c>
      <c r="B174" t="s">
        <v>1528</v>
      </c>
      <c r="C174">
        <v>1</v>
      </c>
      <c r="D174">
        <v>1</v>
      </c>
    </row>
    <row r="175" spans="1:4" x14ac:dyDescent="0.25">
      <c r="A175" t="s">
        <v>1632</v>
      </c>
      <c r="B175" t="s">
        <v>1631</v>
      </c>
      <c r="C175">
        <v>1</v>
      </c>
      <c r="D175">
        <v>1</v>
      </c>
    </row>
    <row r="176" spans="1:4" x14ac:dyDescent="0.25">
      <c r="A176" t="s">
        <v>1689</v>
      </c>
      <c r="B176" t="s">
        <v>1688</v>
      </c>
      <c r="C176">
        <v>1</v>
      </c>
      <c r="D176">
        <v>1</v>
      </c>
    </row>
    <row r="177" spans="1:4" x14ac:dyDescent="0.25">
      <c r="A177" t="s">
        <v>1390</v>
      </c>
      <c r="B177" t="s">
        <v>1660</v>
      </c>
      <c r="C177">
        <v>1</v>
      </c>
      <c r="D177">
        <v>0</v>
      </c>
    </row>
    <row r="178" spans="1:4" x14ac:dyDescent="0.25">
      <c r="A178" t="s">
        <v>1600</v>
      </c>
      <c r="B178" t="s">
        <v>1599</v>
      </c>
      <c r="C178">
        <v>1</v>
      </c>
      <c r="D178">
        <v>1</v>
      </c>
    </row>
    <row r="179" spans="1:4" x14ac:dyDescent="0.25">
      <c r="A179" t="s">
        <v>1391</v>
      </c>
      <c r="B179" t="s">
        <v>1558</v>
      </c>
      <c r="C179">
        <v>1</v>
      </c>
      <c r="D179">
        <v>1</v>
      </c>
    </row>
    <row r="180" spans="1:4" x14ac:dyDescent="0.25">
      <c r="A180" t="s">
        <v>1555</v>
      </c>
      <c r="B180" t="s">
        <v>1554</v>
      </c>
      <c r="C180">
        <v>1</v>
      </c>
      <c r="D180">
        <v>1</v>
      </c>
    </row>
    <row r="181" spans="1:4" x14ac:dyDescent="0.25">
      <c r="A181" t="s">
        <v>1592</v>
      </c>
      <c r="B181" t="s">
        <v>1591</v>
      </c>
      <c r="C181">
        <v>1</v>
      </c>
      <c r="D181">
        <v>1</v>
      </c>
    </row>
    <row r="182" spans="1:4" x14ac:dyDescent="0.25">
      <c r="A182" t="s">
        <v>1506</v>
      </c>
      <c r="B182" t="s">
        <v>1505</v>
      </c>
      <c r="C182">
        <v>1</v>
      </c>
      <c r="D182">
        <v>1</v>
      </c>
    </row>
    <row r="183" spans="1:4" x14ac:dyDescent="0.25">
      <c r="A183" t="s">
        <v>1577</v>
      </c>
      <c r="B183" t="s">
        <v>1576</v>
      </c>
      <c r="C183">
        <v>1</v>
      </c>
      <c r="D183">
        <v>1</v>
      </c>
    </row>
    <row r="184" spans="1:4" x14ac:dyDescent="0.25">
      <c r="A184" t="s">
        <v>1644</v>
      </c>
      <c r="B184" t="s">
        <v>1643</v>
      </c>
      <c r="C184">
        <v>1</v>
      </c>
      <c r="D184">
        <v>1</v>
      </c>
    </row>
    <row r="185" spans="1:4" x14ac:dyDescent="0.25">
      <c r="A185" t="s">
        <v>1650</v>
      </c>
      <c r="B185" t="s">
        <v>1649</v>
      </c>
      <c r="C185">
        <v>1</v>
      </c>
      <c r="D185">
        <v>0</v>
      </c>
    </row>
    <row r="186" spans="1:4" x14ac:dyDescent="0.25">
      <c r="A186" t="s">
        <v>1402</v>
      </c>
      <c r="B186" t="s">
        <v>1553</v>
      </c>
      <c r="C186">
        <v>1</v>
      </c>
      <c r="D186">
        <v>0</v>
      </c>
    </row>
    <row r="187" spans="1:4" x14ac:dyDescent="0.25">
      <c r="A187" t="s">
        <v>1568</v>
      </c>
      <c r="B187" t="s">
        <v>1567</v>
      </c>
      <c r="C187">
        <v>1</v>
      </c>
      <c r="D187">
        <v>1</v>
      </c>
    </row>
    <row r="188" spans="1:4" x14ac:dyDescent="0.25">
      <c r="A188" t="s">
        <v>1557</v>
      </c>
      <c r="B188" t="s">
        <v>1556</v>
      </c>
      <c r="C188">
        <v>1</v>
      </c>
      <c r="D188">
        <v>1</v>
      </c>
    </row>
    <row r="189" spans="1:4" x14ac:dyDescent="0.25">
      <c r="A189" t="s">
        <v>1584</v>
      </c>
      <c r="B189" t="s">
        <v>1583</v>
      </c>
      <c r="C189">
        <v>1</v>
      </c>
      <c r="D189">
        <v>1</v>
      </c>
    </row>
    <row r="190" spans="1:4" x14ac:dyDescent="0.25">
      <c r="A190" t="s">
        <v>1484</v>
      </c>
      <c r="B190" t="s">
        <v>1483</v>
      </c>
      <c r="C190">
        <v>1</v>
      </c>
      <c r="D190">
        <v>1</v>
      </c>
    </row>
    <row r="191" spans="1:4" x14ac:dyDescent="0.25">
      <c r="A191" t="s">
        <v>1598</v>
      </c>
      <c r="B191" t="s">
        <v>1597</v>
      </c>
      <c r="C191">
        <v>1</v>
      </c>
      <c r="D191">
        <v>1</v>
      </c>
    </row>
    <row r="192" spans="1:4" x14ac:dyDescent="0.25">
      <c r="A192" t="s">
        <v>1609</v>
      </c>
      <c r="B192" t="s">
        <v>1608</v>
      </c>
      <c r="C192">
        <v>1</v>
      </c>
      <c r="D192">
        <v>1</v>
      </c>
    </row>
    <row r="193" spans="1:4" x14ac:dyDescent="0.25">
      <c r="A193" t="s">
        <v>1392</v>
      </c>
      <c r="B193" t="s">
        <v>1596</v>
      </c>
      <c r="C193">
        <v>1</v>
      </c>
      <c r="D193">
        <v>0</v>
      </c>
    </row>
    <row r="194" spans="1:4" x14ac:dyDescent="0.25">
      <c r="A194" t="s">
        <v>1393</v>
      </c>
      <c r="B194" t="s">
        <v>1620</v>
      </c>
      <c r="C194">
        <v>1</v>
      </c>
      <c r="D194">
        <v>1</v>
      </c>
    </row>
  </sheetData>
  <sheetProtection algorithmName="SHA-512" hashValue="JJ4tV3aJKbPylt8/deFeeTxPhU7fAWMhPY+P4CfmKJU9RDW+PwHj4knEIF4BxRLAYPWz6wmj73lq0MXh2ZwSSg==" saltValue="Ff0GIbe/eNk0axXRgNxUlA==" spinCount="100000" sheet="1" objects="1" scenarios="1"/>
  <sortState xmlns:xlrd2="http://schemas.microsoft.com/office/spreadsheetml/2017/richdata2" ref="A2:C184">
    <sortCondition ref="A184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449</vt:i4>
      </vt:variant>
    </vt:vector>
  </HeadingPairs>
  <TitlesOfParts>
    <vt:vector size="459" baseType="lpstr">
      <vt:lpstr>Sheet1</vt:lpstr>
      <vt:lpstr>Assessment</vt:lpstr>
      <vt:lpstr>Progress</vt:lpstr>
      <vt:lpstr>StockOrder</vt:lpstr>
      <vt:lpstr>VisitsInvoice</vt:lpstr>
      <vt:lpstr>SETUP</vt:lpstr>
      <vt:lpstr>Regions</vt:lpstr>
      <vt:lpstr>Stocklist</vt:lpstr>
      <vt:lpstr>WndTypes</vt:lpstr>
      <vt:lpstr>MedAids</vt:lpstr>
      <vt:lpstr>Abdomen</vt:lpstr>
      <vt:lpstr>Abscess</vt:lpstr>
      <vt:lpstr>Ass_Adress1</vt:lpstr>
      <vt:lpstr>Ass_Adress2</vt:lpstr>
      <vt:lpstr>Ass_Adress3</vt:lpstr>
      <vt:lpstr>Ass_Adress4</vt:lpstr>
      <vt:lpstr>ass_currmedinfo</vt:lpstr>
      <vt:lpstr>ass_DependantCode</vt:lpstr>
      <vt:lpstr>ass_MedOth</vt:lpstr>
      <vt:lpstr>Ass_Postal1</vt:lpstr>
      <vt:lpstr>Ass_Postal2</vt:lpstr>
      <vt:lpstr>Ass_Postal3</vt:lpstr>
      <vt:lpstr>Ass_Postal4</vt:lpstr>
      <vt:lpstr>AssTrPlDesc</vt:lpstr>
      <vt:lpstr>Burn</vt:lpstr>
      <vt:lpstr>Burns_thermic_trauma</vt:lpstr>
      <vt:lpstr>CHRONIC_WOUND</vt:lpstr>
      <vt:lpstr>ClaimItems</vt:lpstr>
      <vt:lpstr>ClaimsRange</vt:lpstr>
      <vt:lpstr>ConventionalTrtmnt</vt:lpstr>
      <vt:lpstr>Cutaneous_Abscess</vt:lpstr>
      <vt:lpstr>Date_Ordered</vt:lpstr>
      <vt:lpstr>Date_Required</vt:lpstr>
      <vt:lpstr>DD_Day</vt:lpstr>
      <vt:lpstr>DD_Month</vt:lpstr>
      <vt:lpstr>DD_Year</vt:lpstr>
      <vt:lpstr>DeclineReason</vt:lpstr>
      <vt:lpstr>DeliveryContactNumber</vt:lpstr>
      <vt:lpstr>Diabetic_Foot_Syndrome</vt:lpstr>
      <vt:lpstr>disc_Date</vt:lpstr>
      <vt:lpstr>disc_goalsach</vt:lpstr>
      <vt:lpstr>disc_otherrsn</vt:lpstr>
      <vt:lpstr>disc_reason</vt:lpstr>
      <vt:lpstr>Exudate</vt:lpstr>
      <vt:lpstr>fac_genhealth</vt:lpstr>
      <vt:lpstr>fac_homenv</vt:lpstr>
      <vt:lpstr>fac_meds</vt:lpstr>
      <vt:lpstr>fac_mobi</vt:lpstr>
      <vt:lpstr>fac_nutr</vt:lpstr>
      <vt:lpstr>fac_progr</vt:lpstr>
      <vt:lpstr>fac_progTrPlDesc</vt:lpstr>
      <vt:lpstr>FinMonthStart</vt:lpstr>
      <vt:lpstr>Fistula</vt:lpstr>
      <vt:lpstr>Furuncle_or_Boil</vt:lpstr>
      <vt:lpstr>HospitalList</vt:lpstr>
      <vt:lpstr>Hospitals</vt:lpstr>
      <vt:lpstr>Hydradenitis_suppurativa</vt:lpstr>
      <vt:lpstr>HYGIENIC_PREVENTION</vt:lpstr>
      <vt:lpstr>Incision</vt:lpstr>
      <vt:lpstr>Infections_of_organs_or_body_cavities_general</vt:lpstr>
      <vt:lpstr>Integra_Fixation</vt:lpstr>
      <vt:lpstr>inv_date1</vt:lpstr>
      <vt:lpstr>inv_no1</vt:lpstr>
      <vt:lpstr>inv_total1</vt:lpstr>
      <vt:lpstr>InvSubTot</vt:lpstr>
      <vt:lpstr>InvTotal</vt:lpstr>
      <vt:lpstr>InvVAT</vt:lpstr>
      <vt:lpstr>InvVatNo</vt:lpstr>
      <vt:lpstr>lbl_ImpDate</vt:lpstr>
      <vt:lpstr>lbl_ward</vt:lpstr>
      <vt:lpstr>Location</vt:lpstr>
      <vt:lpstr>Malignant_wound</vt:lpstr>
      <vt:lpstr>Mechanical_trauma_wound</vt:lpstr>
      <vt:lpstr>Med_Aid_No</vt:lpstr>
      <vt:lpstr>MedAids</vt:lpstr>
      <vt:lpstr>MRSA_wound</vt:lpstr>
      <vt:lpstr>Necrotising_Fasciitis</vt:lpstr>
      <vt:lpstr>Non_healing_open_wound</vt:lpstr>
      <vt:lpstr>Non_Traumatic_Abscess</vt:lpstr>
      <vt:lpstr>NON_TRAUMATIC_NON_POSTOPERATIVE_INFECTIONS</vt:lpstr>
      <vt:lpstr>Other_Location</vt:lpstr>
      <vt:lpstr>PALLIATION</vt:lpstr>
      <vt:lpstr>PAuthInd</vt:lpstr>
      <vt:lpstr>pd_assmntdate</vt:lpstr>
      <vt:lpstr>pd_dob_day</vt:lpstr>
      <vt:lpstr>pd_dob_month</vt:lpstr>
      <vt:lpstr>pd_dob_year</vt:lpstr>
      <vt:lpstr>pd_drname</vt:lpstr>
      <vt:lpstr>pd_drno</vt:lpstr>
      <vt:lpstr>pd_hospdate</vt:lpstr>
      <vt:lpstr>pd_hospit</vt:lpstr>
      <vt:lpstr>pd_loc</vt:lpstr>
      <vt:lpstr>pd_med</vt:lpstr>
      <vt:lpstr>pd_medno</vt:lpstr>
      <vt:lpstr>pd_name</vt:lpstr>
      <vt:lpstr>Pd_Phone</vt:lpstr>
      <vt:lpstr>pd_surname</vt:lpstr>
      <vt:lpstr>pd_terr</vt:lpstr>
      <vt:lpstr>pd_title</vt:lpstr>
      <vt:lpstr>pd_ward</vt:lpstr>
      <vt:lpstr>pers_DocPhone</vt:lpstr>
      <vt:lpstr>pers_MainMem</vt:lpstr>
      <vt:lpstr>pers_MainMemID</vt:lpstr>
      <vt:lpstr>pers_NextOfKin</vt:lpstr>
      <vt:lpstr>pers_NextOfKinPhone</vt:lpstr>
      <vt:lpstr>pers_NextOfKinRelation</vt:lpstr>
      <vt:lpstr>PLASTICS</vt:lpstr>
      <vt:lpstr>PNP</vt:lpstr>
      <vt:lpstr>pnp_name1</vt:lpstr>
      <vt:lpstr>Postal_Code</vt:lpstr>
      <vt:lpstr>POSTOPERATIVE</vt:lpstr>
      <vt:lpstr>pr_1loc</vt:lpstr>
      <vt:lpstr>pr_date</vt:lpstr>
      <vt:lpstr>pr_Hospital</vt:lpstr>
      <vt:lpstr>pr_Location</vt:lpstr>
      <vt:lpstr>pr_name</vt:lpstr>
      <vt:lpstr>pr_otherlocation</vt:lpstr>
      <vt:lpstr>pr_photo</vt:lpstr>
      <vt:lpstr>pr_Territory</vt:lpstr>
      <vt:lpstr>pr_ward</vt:lpstr>
      <vt:lpstr>pr_wd1_EDate</vt:lpstr>
      <vt:lpstr>pr_wd1_SDate</vt:lpstr>
      <vt:lpstr>pr_wd1DebrideDate</vt:lpstr>
      <vt:lpstr>pr_wd1Dep</vt:lpstr>
      <vt:lpstr>pr_wd1Edges</vt:lpstr>
      <vt:lpstr>pr_wd1Exudate</vt:lpstr>
      <vt:lpstr>pr_wd1Len</vt:lpstr>
      <vt:lpstr>pr_wd1Moisture</vt:lpstr>
      <vt:lpstr>pr_wd1Tunn</vt:lpstr>
      <vt:lpstr>pr_wd1Undermin</vt:lpstr>
      <vt:lpstr>pr_wd1Wid</vt:lpstr>
      <vt:lpstr>pr_wd2_EDate</vt:lpstr>
      <vt:lpstr>pr_wd2_SDate</vt:lpstr>
      <vt:lpstr>pr_wd2DebrideDate</vt:lpstr>
      <vt:lpstr>pr_wd2Dep</vt:lpstr>
      <vt:lpstr>pr_wd2Edges</vt:lpstr>
      <vt:lpstr>pr_wd2Exudate</vt:lpstr>
      <vt:lpstr>pr_wd2Len</vt:lpstr>
      <vt:lpstr>pr_wd2Moisture</vt:lpstr>
      <vt:lpstr>pr_wd2Tunn</vt:lpstr>
      <vt:lpstr>pr_wd2Undermin</vt:lpstr>
      <vt:lpstr>pr_wd2Wid</vt:lpstr>
      <vt:lpstr>pr_wd3_EDate</vt:lpstr>
      <vt:lpstr>pr_wd3_SDate</vt:lpstr>
      <vt:lpstr>pr_wd3DebrideDate</vt:lpstr>
      <vt:lpstr>pr_wd3Dep</vt:lpstr>
      <vt:lpstr>pr_wd3Edges</vt:lpstr>
      <vt:lpstr>pr_wd3Exudate</vt:lpstr>
      <vt:lpstr>pr_wd3Len</vt:lpstr>
      <vt:lpstr>pr_wd3Moisture</vt:lpstr>
      <vt:lpstr>pr_wd3Tunn</vt:lpstr>
      <vt:lpstr>pr_wd3Undermin</vt:lpstr>
      <vt:lpstr>pr_wd3Wid</vt:lpstr>
      <vt:lpstr>pr_wd4_EDate</vt:lpstr>
      <vt:lpstr>pr_wd4_SDate</vt:lpstr>
      <vt:lpstr>pr_wd4DebrideDate</vt:lpstr>
      <vt:lpstr>pr_wd4Dep</vt:lpstr>
      <vt:lpstr>pr_wd4Edges</vt:lpstr>
      <vt:lpstr>pr_wd4Exudate</vt:lpstr>
      <vt:lpstr>pr_wd4Len</vt:lpstr>
      <vt:lpstr>pr_wd4Moisture</vt:lpstr>
      <vt:lpstr>pr_wd4Tunn</vt:lpstr>
      <vt:lpstr>pr_wd4Undermin</vt:lpstr>
      <vt:lpstr>pr_wd4Wid</vt:lpstr>
      <vt:lpstr>pr_wd5_EDate</vt:lpstr>
      <vt:lpstr>pr_wd5_SDate</vt:lpstr>
      <vt:lpstr>pr_wd5DebrideDate</vt:lpstr>
      <vt:lpstr>pr_wd5Dep</vt:lpstr>
      <vt:lpstr>pr_wd5Edges</vt:lpstr>
      <vt:lpstr>pr_wd5Exudate</vt:lpstr>
      <vt:lpstr>pr_wd5Len</vt:lpstr>
      <vt:lpstr>pr_wd5Moisture</vt:lpstr>
      <vt:lpstr>pr_wd5Tunn</vt:lpstr>
      <vt:lpstr>pr_wd5Undermin</vt:lpstr>
      <vt:lpstr>pr_wd5Wid</vt:lpstr>
      <vt:lpstr>pr_wd6_EDate</vt:lpstr>
      <vt:lpstr>pr_wd6_SDate</vt:lpstr>
      <vt:lpstr>pr_wd6DebrideDate</vt:lpstr>
      <vt:lpstr>pr_wd6Dep</vt:lpstr>
      <vt:lpstr>pr_wd6Edges</vt:lpstr>
      <vt:lpstr>pr_wd6Exudate</vt:lpstr>
      <vt:lpstr>pr_wd6Len</vt:lpstr>
      <vt:lpstr>pr_wd6Moisture</vt:lpstr>
      <vt:lpstr>pr_wd6Tunn</vt:lpstr>
      <vt:lpstr>pr_wd6Undermin</vt:lpstr>
      <vt:lpstr>pr_wd6Wid</vt:lpstr>
      <vt:lpstr>pr_wd7_EDate</vt:lpstr>
      <vt:lpstr>pr_wd7_SDate</vt:lpstr>
      <vt:lpstr>pr_wd7DebrideDate</vt:lpstr>
      <vt:lpstr>pr_wd7Dep</vt:lpstr>
      <vt:lpstr>pr_wd7Edges</vt:lpstr>
      <vt:lpstr>pr_wd7Exudate</vt:lpstr>
      <vt:lpstr>pr_wd7Len</vt:lpstr>
      <vt:lpstr>pr_wd7Moisture</vt:lpstr>
      <vt:lpstr>pr_wd7Tunn</vt:lpstr>
      <vt:lpstr>pr_wd7Undermin</vt:lpstr>
      <vt:lpstr>pr_wd7Wid</vt:lpstr>
      <vt:lpstr>pr_wd8_EDate</vt:lpstr>
      <vt:lpstr>pr_wd8_SDate</vt:lpstr>
      <vt:lpstr>pr_wd8DebrideDate</vt:lpstr>
      <vt:lpstr>pr_wd8Dep</vt:lpstr>
      <vt:lpstr>pr_wd8Edges</vt:lpstr>
      <vt:lpstr>pr_wd8Exudate</vt:lpstr>
      <vt:lpstr>pr_wd8Len</vt:lpstr>
      <vt:lpstr>pr_wd8Moisture</vt:lpstr>
      <vt:lpstr>pr_wd8Tunn</vt:lpstr>
      <vt:lpstr>pr_wd8Undermin</vt:lpstr>
      <vt:lpstr>pr_wd8Wid</vt:lpstr>
      <vt:lpstr>pr_wd9_EDate</vt:lpstr>
      <vt:lpstr>pr_wd9_SDate</vt:lpstr>
      <vt:lpstr>pr_wd9DebrideDate</vt:lpstr>
      <vt:lpstr>pr_wd9Dep</vt:lpstr>
      <vt:lpstr>pr_wd9Edges</vt:lpstr>
      <vt:lpstr>pr_wd9Exudate</vt:lpstr>
      <vt:lpstr>pr_wd9Len</vt:lpstr>
      <vt:lpstr>pr_wd9Moisture</vt:lpstr>
      <vt:lpstr>pr_wd9Tunn</vt:lpstr>
      <vt:lpstr>pr_wd9Undermin</vt:lpstr>
      <vt:lpstr>pr_wd9Wid</vt:lpstr>
      <vt:lpstr>Pressure_Ulcer</vt:lpstr>
      <vt:lpstr>Assessment!Print_Area</vt:lpstr>
      <vt:lpstr>Progress!Print_Area</vt:lpstr>
      <vt:lpstr>StockOrder!Print_Area</vt:lpstr>
      <vt:lpstr>VisitsInvoice!Print_Area</vt:lpstr>
      <vt:lpstr>Assessment!Print_Titles</vt:lpstr>
      <vt:lpstr>Progr_PrgToGoals</vt:lpstr>
      <vt:lpstr>prType_1Other</vt:lpstr>
      <vt:lpstr>prType_2Other</vt:lpstr>
      <vt:lpstr>prType_3Other</vt:lpstr>
      <vt:lpstr>Radiation_Ulcer</vt:lpstr>
      <vt:lpstr>res_glucose</vt:lpstr>
      <vt:lpstr>res_hba1c</vt:lpstr>
      <vt:lpstr>res_mcs</vt:lpstr>
      <vt:lpstr>Septic_wounds</vt:lpstr>
      <vt:lpstr>SO_Hospital</vt:lpstr>
      <vt:lpstr>SO_Location</vt:lpstr>
      <vt:lpstr>SO_Territory</vt:lpstr>
      <vt:lpstr>SO_Ward</vt:lpstr>
      <vt:lpstr>Soft_Tissue_Infection_General</vt:lpstr>
      <vt:lpstr>Split_Thickness_Skin_Graft</vt:lpstr>
      <vt:lpstr>StockCode</vt:lpstr>
      <vt:lpstr>StockCodes</vt:lpstr>
      <vt:lpstr>StockDelAddr1</vt:lpstr>
      <vt:lpstr>StockDelAddr2</vt:lpstr>
      <vt:lpstr>StockDelAddr3</vt:lpstr>
      <vt:lpstr>StockDelAddr4</vt:lpstr>
      <vt:lpstr>Stocklist</vt:lpstr>
      <vt:lpstr>Street_Code</vt:lpstr>
      <vt:lpstr>Surgical_dehiscence_nonhealing_surgical_wound</vt:lpstr>
      <vt:lpstr>Surgical_nondehiscence</vt:lpstr>
      <vt:lpstr>Territory</vt:lpstr>
      <vt:lpstr>Threedimensional_flap_construction</vt:lpstr>
      <vt:lpstr>TRAUMA</vt:lpstr>
      <vt:lpstr>TreatmentGoals</vt:lpstr>
      <vt:lpstr>TreatmentPlan</vt:lpstr>
      <vt:lpstr>Ulcus_cruris</vt:lpstr>
      <vt:lpstr>VATRate</vt:lpstr>
      <vt:lpstr>wd_1_EDate</vt:lpstr>
      <vt:lpstr>wd_1_SDate</vt:lpstr>
      <vt:lpstr>wd_1chronic</vt:lpstr>
      <vt:lpstr>wd_1debdate</vt:lpstr>
      <vt:lpstr>wd_1dep</vt:lpstr>
      <vt:lpstr>wd_1edge</vt:lpstr>
      <vt:lpstr>wd_1exud</vt:lpstr>
      <vt:lpstr>wd_1len</vt:lpstr>
      <vt:lpstr>wd_1loc</vt:lpstr>
      <vt:lpstr>wd_1moist</vt:lpstr>
      <vt:lpstr>wd_1tuncm</vt:lpstr>
      <vt:lpstr>wd_1tyoth</vt:lpstr>
      <vt:lpstr>wd_1type</vt:lpstr>
      <vt:lpstr>wd_1tysub</vt:lpstr>
      <vt:lpstr>wd_1undcm</vt:lpstr>
      <vt:lpstr>wd_1wid</vt:lpstr>
      <vt:lpstr>wd_2_EDate</vt:lpstr>
      <vt:lpstr>wd_2_SDate</vt:lpstr>
      <vt:lpstr>Progress!wd_2cat</vt:lpstr>
      <vt:lpstr>wd_2chronic</vt:lpstr>
      <vt:lpstr>wd_2debdate</vt:lpstr>
      <vt:lpstr>wd_2dep</vt:lpstr>
      <vt:lpstr>wd_2edge</vt:lpstr>
      <vt:lpstr>wd_2exud</vt:lpstr>
      <vt:lpstr>wd_2len</vt:lpstr>
      <vt:lpstr>wd_2loc</vt:lpstr>
      <vt:lpstr>wd_2moist</vt:lpstr>
      <vt:lpstr>wd_2tuncm</vt:lpstr>
      <vt:lpstr>wd_2tyoth</vt:lpstr>
      <vt:lpstr>wd_2type</vt:lpstr>
      <vt:lpstr>wd_2tysub</vt:lpstr>
      <vt:lpstr>wd_2undcm</vt:lpstr>
      <vt:lpstr>wd_2wid</vt:lpstr>
      <vt:lpstr>wd_3_EDate</vt:lpstr>
      <vt:lpstr>wd_3_SDate</vt:lpstr>
      <vt:lpstr>wd_3chronic</vt:lpstr>
      <vt:lpstr>wd_3debdate</vt:lpstr>
      <vt:lpstr>wd_3dep</vt:lpstr>
      <vt:lpstr>wd_3edge</vt:lpstr>
      <vt:lpstr>wd_3exud</vt:lpstr>
      <vt:lpstr>wd_3len</vt:lpstr>
      <vt:lpstr>wd_3loc</vt:lpstr>
      <vt:lpstr>wd_3moist</vt:lpstr>
      <vt:lpstr>wd_3tuncm</vt:lpstr>
      <vt:lpstr>wd_3tyoth</vt:lpstr>
      <vt:lpstr>wd_3type</vt:lpstr>
      <vt:lpstr>wd_3tysub</vt:lpstr>
      <vt:lpstr>wd_3undcm</vt:lpstr>
      <vt:lpstr>wd_3wid</vt:lpstr>
      <vt:lpstr>wd_4_EDate</vt:lpstr>
      <vt:lpstr>wd_4_SDate</vt:lpstr>
      <vt:lpstr>wd_4chronic</vt:lpstr>
      <vt:lpstr>wd_4dep</vt:lpstr>
      <vt:lpstr>wd_4edge</vt:lpstr>
      <vt:lpstr>wd_4exud</vt:lpstr>
      <vt:lpstr>wd_4len</vt:lpstr>
      <vt:lpstr>wd_4loc</vt:lpstr>
      <vt:lpstr>wd_4moist</vt:lpstr>
      <vt:lpstr>wd_4tyoth</vt:lpstr>
      <vt:lpstr>wd_4type</vt:lpstr>
      <vt:lpstr>wd_4tysub</vt:lpstr>
      <vt:lpstr>wd_4wid</vt:lpstr>
      <vt:lpstr>wd_5_EDate</vt:lpstr>
      <vt:lpstr>wd_5_SDate</vt:lpstr>
      <vt:lpstr>wd_5chronic</vt:lpstr>
      <vt:lpstr>wd_5dep</vt:lpstr>
      <vt:lpstr>wd_5edge</vt:lpstr>
      <vt:lpstr>wd_5exud</vt:lpstr>
      <vt:lpstr>wd_5len</vt:lpstr>
      <vt:lpstr>wd_5loc</vt:lpstr>
      <vt:lpstr>wd_5moist</vt:lpstr>
      <vt:lpstr>wd_5tyoth</vt:lpstr>
      <vt:lpstr>wd_5type</vt:lpstr>
      <vt:lpstr>wd_5tysub</vt:lpstr>
      <vt:lpstr>wd_5wid</vt:lpstr>
      <vt:lpstr>wd_6_EDate</vt:lpstr>
      <vt:lpstr>wd_6_SDate</vt:lpstr>
      <vt:lpstr>wd_6chronic</vt:lpstr>
      <vt:lpstr>wd_6dep</vt:lpstr>
      <vt:lpstr>wd_6edge</vt:lpstr>
      <vt:lpstr>wd_6exud</vt:lpstr>
      <vt:lpstr>wd_6len</vt:lpstr>
      <vt:lpstr>wd_6loc</vt:lpstr>
      <vt:lpstr>wd_6moist</vt:lpstr>
      <vt:lpstr>wd_6tyoth</vt:lpstr>
      <vt:lpstr>wd_6type</vt:lpstr>
      <vt:lpstr>wd_6tysub</vt:lpstr>
      <vt:lpstr>wd_6wid</vt:lpstr>
      <vt:lpstr>wd_7_EDate</vt:lpstr>
      <vt:lpstr>wd_7_SDate</vt:lpstr>
      <vt:lpstr>wd_7chronic</vt:lpstr>
      <vt:lpstr>wd_7dep</vt:lpstr>
      <vt:lpstr>wd_7edge</vt:lpstr>
      <vt:lpstr>wd_7exud</vt:lpstr>
      <vt:lpstr>wd_7len</vt:lpstr>
      <vt:lpstr>wd_7loc</vt:lpstr>
      <vt:lpstr>wd_7moist</vt:lpstr>
      <vt:lpstr>wd_7tyoth</vt:lpstr>
      <vt:lpstr>wd_7type</vt:lpstr>
      <vt:lpstr>wd_7tysub</vt:lpstr>
      <vt:lpstr>wd_7wid</vt:lpstr>
      <vt:lpstr>wd_8_EDate</vt:lpstr>
      <vt:lpstr>wd_8_SDate</vt:lpstr>
      <vt:lpstr>wd_8chronic</vt:lpstr>
      <vt:lpstr>wd_8dep</vt:lpstr>
      <vt:lpstr>wd_8edge</vt:lpstr>
      <vt:lpstr>wd_8exud</vt:lpstr>
      <vt:lpstr>wd_8len</vt:lpstr>
      <vt:lpstr>wd_8loc</vt:lpstr>
      <vt:lpstr>wd_8moist</vt:lpstr>
      <vt:lpstr>wd_8tyoth</vt:lpstr>
      <vt:lpstr>wd_8type</vt:lpstr>
      <vt:lpstr>wd_8tysub</vt:lpstr>
      <vt:lpstr>wd_8wid</vt:lpstr>
      <vt:lpstr>wd_9_EDate</vt:lpstr>
      <vt:lpstr>wd_9_SDate</vt:lpstr>
      <vt:lpstr>wd_9chronic</vt:lpstr>
      <vt:lpstr>wd_9dep</vt:lpstr>
      <vt:lpstr>wd_9edge</vt:lpstr>
      <vt:lpstr>wd_9exud</vt:lpstr>
      <vt:lpstr>wd_9len</vt:lpstr>
      <vt:lpstr>wd_9loc</vt:lpstr>
      <vt:lpstr>wd_9moist</vt:lpstr>
      <vt:lpstr>wd_9tyoth</vt:lpstr>
      <vt:lpstr>wd_9type</vt:lpstr>
      <vt:lpstr>wd_9tysub</vt:lpstr>
      <vt:lpstr>wd_9wid</vt:lpstr>
      <vt:lpstr>wd_diagprime</vt:lpstr>
      <vt:lpstr>wd_diagsecond</vt:lpstr>
      <vt:lpstr>wd_icd10</vt:lpstr>
      <vt:lpstr>wd_ImpDate</vt:lpstr>
      <vt:lpstr>wd_medhist</vt:lpstr>
      <vt:lpstr>wd_medication</vt:lpstr>
      <vt:lpstr>wd_SolutionVacUlta</vt:lpstr>
      <vt:lpstr>wnd_1cat</vt:lpstr>
      <vt:lpstr>wnd_1debr</vt:lpstr>
      <vt:lpstr>wnd_1infected</vt:lpstr>
      <vt:lpstr>wnd_1inflamed</vt:lpstr>
      <vt:lpstr>wnd_1tunl</vt:lpstr>
      <vt:lpstr>wnd_1undm</vt:lpstr>
      <vt:lpstr>wnd_2cat</vt:lpstr>
      <vt:lpstr>wnd_2debr</vt:lpstr>
      <vt:lpstr>wnd_2infected</vt:lpstr>
      <vt:lpstr>wnd_2inflamed</vt:lpstr>
      <vt:lpstr>wnd_2tunl</vt:lpstr>
      <vt:lpstr>wnd_2undm</vt:lpstr>
      <vt:lpstr>wnd_3cat</vt:lpstr>
      <vt:lpstr>wnd_3debr</vt:lpstr>
      <vt:lpstr>wnd_3infected</vt:lpstr>
      <vt:lpstr>wnd_3inflamed</vt:lpstr>
      <vt:lpstr>wnd_3tunl</vt:lpstr>
      <vt:lpstr>wnd_3type</vt:lpstr>
      <vt:lpstr>wnd_3undm</vt:lpstr>
      <vt:lpstr>wnd_4debr</vt:lpstr>
      <vt:lpstr>wnd_4tunl</vt:lpstr>
      <vt:lpstr>wnd_4undm</vt:lpstr>
      <vt:lpstr>wnd_5debr</vt:lpstr>
      <vt:lpstr>wnd_5tunl</vt:lpstr>
      <vt:lpstr>wnd_5undm</vt:lpstr>
      <vt:lpstr>wnd_6debr</vt:lpstr>
      <vt:lpstr>wnd_6tunl</vt:lpstr>
      <vt:lpstr>wnd_6undm</vt:lpstr>
      <vt:lpstr>wnd_7debr</vt:lpstr>
      <vt:lpstr>wnd_7tunl</vt:lpstr>
      <vt:lpstr>wnd_7undm</vt:lpstr>
      <vt:lpstr>wnd_8debr</vt:lpstr>
      <vt:lpstr>wnd_8tunl</vt:lpstr>
      <vt:lpstr>wnd_8undm</vt:lpstr>
      <vt:lpstr>wnd_9debr</vt:lpstr>
      <vt:lpstr>wnd_9tunl</vt:lpstr>
      <vt:lpstr>wnd_9undm</vt:lpstr>
      <vt:lpstr>Wnd1Cat</vt:lpstr>
      <vt:lpstr>Wnd1Sub</vt:lpstr>
      <vt:lpstr>Wnd1Type</vt:lpstr>
      <vt:lpstr>Wnd2Cat</vt:lpstr>
      <vt:lpstr>Wnd2Sub</vt:lpstr>
      <vt:lpstr>Wnd2Type</vt:lpstr>
      <vt:lpstr>wnd3_type</vt:lpstr>
      <vt:lpstr>Wnd3Cat</vt:lpstr>
      <vt:lpstr>Wnd3Sub</vt:lpstr>
      <vt:lpstr>Wnd3type</vt:lpstr>
      <vt:lpstr>Wnd4Cat</vt:lpstr>
      <vt:lpstr>Wnd5Cat</vt:lpstr>
      <vt:lpstr>Wnd6Cat</vt:lpstr>
      <vt:lpstr>wnd71debr</vt:lpstr>
      <vt:lpstr>Wnd7Cat</vt:lpstr>
      <vt:lpstr>Wnd8Cat</vt:lpstr>
      <vt:lpstr>Wnd9Cat</vt:lpstr>
      <vt:lpstr>WndCat_Nontrauma</vt:lpstr>
      <vt:lpstr>WndCat_PostOp</vt:lpstr>
      <vt:lpstr>WndCat_PostOp1</vt:lpstr>
      <vt:lpstr>WndCat_PostOp2</vt:lpstr>
      <vt:lpstr>WndCat_PostOp3</vt:lpstr>
      <vt:lpstr>WndCat_PostOp4</vt:lpstr>
      <vt:lpstr>WndCat_Trauma</vt:lpstr>
      <vt:lpstr>WndEdge</vt:lpstr>
      <vt:lpstr>WndLocation</vt:lpstr>
      <vt:lpstr>WndSubCatTrauma1</vt:lpstr>
      <vt:lpstr>WndSubCatTrauma2</vt:lpstr>
      <vt:lpstr>WndSubCatTrauma3</vt:lpstr>
      <vt:lpstr>WoundCat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Lourens Botha</dc:creator>
  <cp:lastModifiedBy>Lourens Botha</cp:lastModifiedBy>
  <cp:lastPrinted>2017-06-27T08:07:38Z</cp:lastPrinted>
  <dcterms:created xsi:type="dcterms:W3CDTF">2016-04-15T01:18:30Z</dcterms:created>
  <dcterms:modified xsi:type="dcterms:W3CDTF">2021-04-16T11:46:01Z</dcterms:modified>
</cp:coreProperties>
</file>